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 Schovánek\Desktop\"/>
    </mc:Choice>
  </mc:AlternateContent>
  <xr:revisionPtr revIDLastSave="0" documentId="13_ncr:1_{E7DE9F12-881B-47D2-93EC-0A2B3B087F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ulka_vysvětlení" sheetId="8" r:id="rId1"/>
    <sheet name="Tabulka" sheetId="1" r:id="rId2"/>
    <sheet name="salience" sheetId="2" r:id="rId3"/>
    <sheet name="telly_emo" sheetId="3" r:id="rId4"/>
    <sheet name="skylink_emo" sheetId="4" r:id="rId5"/>
    <sheet name="sledovanitv_emo" sheetId="5" r:id="rId6"/>
    <sheet name="o2tv_emo" sheetId="6" r:id="rId7"/>
    <sheet name="lepsitv_emo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7" l="1"/>
  <c r="A1" i="6"/>
  <c r="A1" i="5"/>
  <c r="A1" i="4"/>
  <c r="A1" i="3"/>
  <c r="CJ626" i="1"/>
  <c r="CI626" i="1"/>
  <c r="CF626" i="1"/>
  <c r="CE626" i="1"/>
  <c r="CB626" i="1"/>
  <c r="CA626" i="1"/>
  <c r="BX626" i="1"/>
  <c r="BW626" i="1"/>
  <c r="BT626" i="1"/>
  <c r="BS626" i="1"/>
  <c r="BP626" i="1"/>
  <c r="BO626" i="1"/>
  <c r="BL626" i="1"/>
  <c r="BK626" i="1"/>
  <c r="BH626" i="1"/>
  <c r="BG626" i="1"/>
  <c r="BD626" i="1"/>
  <c r="BC626" i="1"/>
  <c r="AZ626" i="1"/>
  <c r="AY626" i="1"/>
  <c r="AV626" i="1"/>
  <c r="AU626" i="1"/>
  <c r="AR626" i="1"/>
  <c r="AQ626" i="1"/>
  <c r="AN626" i="1"/>
  <c r="AM626" i="1"/>
  <c r="AJ626" i="1"/>
  <c r="AI626" i="1"/>
  <c r="AF626" i="1"/>
  <c r="AE626" i="1"/>
  <c r="AB626" i="1"/>
  <c r="AA626" i="1"/>
  <c r="X626" i="1"/>
  <c r="W626" i="1"/>
  <c r="T626" i="1"/>
  <c r="S626" i="1"/>
  <c r="P626" i="1"/>
  <c r="O626" i="1"/>
  <c r="L626" i="1"/>
  <c r="K626" i="1"/>
  <c r="H626" i="1"/>
  <c r="G626" i="1"/>
  <c r="D626" i="1"/>
  <c r="C626" i="1"/>
  <c r="CJ625" i="1"/>
  <c r="CI625" i="1"/>
  <c r="CF625" i="1"/>
  <c r="CE625" i="1"/>
  <c r="CB625" i="1"/>
  <c r="CA625" i="1"/>
  <c r="BX625" i="1"/>
  <c r="BW625" i="1"/>
  <c r="BT625" i="1"/>
  <c r="BS625" i="1"/>
  <c r="BP625" i="1"/>
  <c r="BO625" i="1"/>
  <c r="BL625" i="1"/>
  <c r="BK625" i="1"/>
  <c r="BH625" i="1"/>
  <c r="BG625" i="1"/>
  <c r="BD625" i="1"/>
  <c r="BC625" i="1"/>
  <c r="AZ625" i="1"/>
  <c r="AY625" i="1"/>
  <c r="AV625" i="1"/>
  <c r="AU625" i="1"/>
  <c r="AR625" i="1"/>
  <c r="AQ625" i="1"/>
  <c r="AN625" i="1"/>
  <c r="AM625" i="1"/>
  <c r="AJ625" i="1"/>
  <c r="AI625" i="1"/>
  <c r="AF625" i="1"/>
  <c r="AE625" i="1"/>
  <c r="AB625" i="1"/>
  <c r="AA625" i="1"/>
  <c r="X625" i="1"/>
  <c r="W625" i="1"/>
  <c r="T625" i="1"/>
  <c r="S625" i="1"/>
  <c r="P625" i="1"/>
  <c r="O625" i="1"/>
  <c r="L625" i="1"/>
  <c r="K625" i="1"/>
  <c r="H625" i="1"/>
  <c r="G625" i="1"/>
  <c r="D625" i="1"/>
  <c r="C625" i="1"/>
  <c r="CJ624" i="1"/>
  <c r="CI624" i="1"/>
  <c r="CF624" i="1"/>
  <c r="CE624" i="1"/>
  <c r="CB624" i="1"/>
  <c r="CA624" i="1"/>
  <c r="BX624" i="1"/>
  <c r="BW624" i="1"/>
  <c r="BT624" i="1"/>
  <c r="BS624" i="1"/>
  <c r="BP624" i="1"/>
  <c r="BO624" i="1"/>
  <c r="BL624" i="1"/>
  <c r="BK624" i="1"/>
  <c r="BH624" i="1"/>
  <c r="BG624" i="1"/>
  <c r="BD624" i="1"/>
  <c r="BC624" i="1"/>
  <c r="AZ624" i="1"/>
  <c r="AY624" i="1"/>
  <c r="AV624" i="1"/>
  <c r="AU624" i="1"/>
  <c r="AR624" i="1"/>
  <c r="AQ624" i="1"/>
  <c r="AN624" i="1"/>
  <c r="AM624" i="1"/>
  <c r="AJ624" i="1"/>
  <c r="AI624" i="1"/>
  <c r="AF624" i="1"/>
  <c r="AE624" i="1"/>
  <c r="AB624" i="1"/>
  <c r="AA624" i="1"/>
  <c r="X624" i="1"/>
  <c r="W624" i="1"/>
  <c r="T624" i="1"/>
  <c r="S624" i="1"/>
  <c r="P624" i="1"/>
  <c r="O624" i="1"/>
  <c r="L624" i="1"/>
  <c r="K624" i="1"/>
  <c r="H624" i="1"/>
  <c r="G624" i="1"/>
  <c r="D624" i="1"/>
  <c r="C624" i="1"/>
  <c r="CJ623" i="1"/>
  <c r="CI623" i="1"/>
  <c r="CF623" i="1"/>
  <c r="CE623" i="1"/>
  <c r="CB623" i="1"/>
  <c r="CA623" i="1"/>
  <c r="BX623" i="1"/>
  <c r="BW623" i="1"/>
  <c r="BT623" i="1"/>
  <c r="BS623" i="1"/>
  <c r="BP623" i="1"/>
  <c r="BO623" i="1"/>
  <c r="BL623" i="1"/>
  <c r="BK623" i="1"/>
  <c r="BH623" i="1"/>
  <c r="BG623" i="1"/>
  <c r="BD623" i="1"/>
  <c r="BC623" i="1"/>
  <c r="AZ623" i="1"/>
  <c r="AY623" i="1"/>
  <c r="AV623" i="1"/>
  <c r="AU623" i="1"/>
  <c r="AR623" i="1"/>
  <c r="AQ623" i="1"/>
  <c r="AN623" i="1"/>
  <c r="AM623" i="1"/>
  <c r="AJ623" i="1"/>
  <c r="AI623" i="1"/>
  <c r="AF623" i="1"/>
  <c r="AE623" i="1"/>
  <c r="AB623" i="1"/>
  <c r="AA623" i="1"/>
  <c r="X623" i="1"/>
  <c r="W623" i="1"/>
  <c r="T623" i="1"/>
  <c r="S623" i="1"/>
  <c r="P623" i="1"/>
  <c r="O623" i="1"/>
  <c r="L623" i="1"/>
  <c r="K623" i="1"/>
  <c r="H623" i="1"/>
  <c r="G623" i="1"/>
  <c r="D623" i="1"/>
  <c r="C623" i="1"/>
  <c r="CJ622" i="1"/>
  <c r="CI622" i="1"/>
  <c r="CF622" i="1"/>
  <c r="CE622" i="1"/>
  <c r="CB622" i="1"/>
  <c r="CA622" i="1"/>
  <c r="BX622" i="1"/>
  <c r="BW622" i="1"/>
  <c r="BT622" i="1"/>
  <c r="BS622" i="1"/>
  <c r="BP622" i="1"/>
  <c r="BO622" i="1"/>
  <c r="BL622" i="1"/>
  <c r="BK622" i="1"/>
  <c r="BH622" i="1"/>
  <c r="BG622" i="1"/>
  <c r="BD622" i="1"/>
  <c r="BC622" i="1"/>
  <c r="AZ622" i="1"/>
  <c r="AY622" i="1"/>
  <c r="AV622" i="1"/>
  <c r="AU622" i="1"/>
  <c r="AR622" i="1"/>
  <c r="AQ622" i="1"/>
  <c r="AN622" i="1"/>
  <c r="AM622" i="1"/>
  <c r="AJ622" i="1"/>
  <c r="AI622" i="1"/>
  <c r="AF622" i="1"/>
  <c r="AE622" i="1"/>
  <c r="AB622" i="1"/>
  <c r="AA622" i="1"/>
  <c r="X622" i="1"/>
  <c r="W622" i="1"/>
  <c r="T622" i="1"/>
  <c r="S622" i="1"/>
  <c r="P622" i="1"/>
  <c r="O622" i="1"/>
  <c r="L622" i="1"/>
  <c r="K622" i="1"/>
  <c r="H622" i="1"/>
  <c r="G622" i="1"/>
  <c r="D622" i="1"/>
  <c r="C622" i="1"/>
  <c r="CJ621" i="1"/>
  <c r="CI621" i="1"/>
  <c r="CF621" i="1"/>
  <c r="CE621" i="1"/>
  <c r="CB621" i="1"/>
  <c r="CA621" i="1"/>
  <c r="BX621" i="1"/>
  <c r="BW621" i="1"/>
  <c r="BT621" i="1"/>
  <c r="BS621" i="1"/>
  <c r="BP621" i="1"/>
  <c r="BO621" i="1"/>
  <c r="BL621" i="1"/>
  <c r="BK621" i="1"/>
  <c r="BH621" i="1"/>
  <c r="BG621" i="1"/>
  <c r="BD621" i="1"/>
  <c r="BC621" i="1"/>
  <c r="AZ621" i="1"/>
  <c r="AY621" i="1"/>
  <c r="AV621" i="1"/>
  <c r="AU621" i="1"/>
  <c r="AR621" i="1"/>
  <c r="AQ621" i="1"/>
  <c r="AN621" i="1"/>
  <c r="AM621" i="1"/>
  <c r="AJ621" i="1"/>
  <c r="AI621" i="1"/>
  <c r="AF621" i="1"/>
  <c r="AE621" i="1"/>
  <c r="AB621" i="1"/>
  <c r="AA621" i="1"/>
  <c r="X621" i="1"/>
  <c r="W621" i="1"/>
  <c r="T621" i="1"/>
  <c r="S621" i="1"/>
  <c r="P621" i="1"/>
  <c r="O621" i="1"/>
  <c r="L621" i="1"/>
  <c r="K621" i="1"/>
  <c r="H621" i="1"/>
  <c r="G621" i="1"/>
  <c r="D621" i="1"/>
  <c r="C621" i="1"/>
  <c r="CJ620" i="1"/>
  <c r="CI620" i="1"/>
  <c r="CF620" i="1"/>
  <c r="CE620" i="1"/>
  <c r="CB620" i="1"/>
  <c r="CA620" i="1"/>
  <c r="BX620" i="1"/>
  <c r="BW620" i="1"/>
  <c r="BT620" i="1"/>
  <c r="BS620" i="1"/>
  <c r="BP620" i="1"/>
  <c r="BO620" i="1"/>
  <c r="BL620" i="1"/>
  <c r="BK620" i="1"/>
  <c r="BH620" i="1"/>
  <c r="BG620" i="1"/>
  <c r="BD620" i="1"/>
  <c r="BC620" i="1"/>
  <c r="AZ620" i="1"/>
  <c r="AY620" i="1"/>
  <c r="AV620" i="1"/>
  <c r="AU620" i="1"/>
  <c r="AR620" i="1"/>
  <c r="AQ620" i="1"/>
  <c r="AN620" i="1"/>
  <c r="AM620" i="1"/>
  <c r="AJ620" i="1"/>
  <c r="AI620" i="1"/>
  <c r="AF620" i="1"/>
  <c r="AE620" i="1"/>
  <c r="AB620" i="1"/>
  <c r="AA620" i="1"/>
  <c r="X620" i="1"/>
  <c r="W620" i="1"/>
  <c r="T620" i="1"/>
  <c r="S620" i="1"/>
  <c r="P620" i="1"/>
  <c r="O620" i="1"/>
  <c r="L620" i="1"/>
  <c r="K620" i="1"/>
  <c r="H620" i="1"/>
  <c r="G620" i="1"/>
  <c r="D620" i="1"/>
  <c r="C620" i="1"/>
  <c r="CJ613" i="1"/>
  <c r="CI613" i="1"/>
  <c r="CF613" i="1"/>
  <c r="CE613" i="1"/>
  <c r="CB613" i="1"/>
  <c r="CA613" i="1"/>
  <c r="BX613" i="1"/>
  <c r="BW613" i="1"/>
  <c r="BT613" i="1"/>
  <c r="BS613" i="1"/>
  <c r="BP613" i="1"/>
  <c r="BO613" i="1"/>
  <c r="BL613" i="1"/>
  <c r="BK613" i="1"/>
  <c r="BH613" i="1"/>
  <c r="BG613" i="1"/>
  <c r="BD613" i="1"/>
  <c r="BC613" i="1"/>
  <c r="AZ613" i="1"/>
  <c r="AY613" i="1"/>
  <c r="AV613" i="1"/>
  <c r="AU613" i="1"/>
  <c r="AR613" i="1"/>
  <c r="AQ613" i="1"/>
  <c r="AN613" i="1"/>
  <c r="AM613" i="1"/>
  <c r="AJ613" i="1"/>
  <c r="AI613" i="1"/>
  <c r="AF613" i="1"/>
  <c r="AE613" i="1"/>
  <c r="AB613" i="1"/>
  <c r="AA613" i="1"/>
  <c r="X613" i="1"/>
  <c r="W613" i="1"/>
  <c r="T613" i="1"/>
  <c r="S613" i="1"/>
  <c r="P613" i="1"/>
  <c r="O613" i="1"/>
  <c r="L613" i="1"/>
  <c r="K613" i="1"/>
  <c r="H613" i="1"/>
  <c r="G613" i="1"/>
  <c r="D613" i="1"/>
  <c r="C613" i="1"/>
  <c r="CJ612" i="1"/>
  <c r="CI612" i="1"/>
  <c r="CF612" i="1"/>
  <c r="CE612" i="1"/>
  <c r="CB612" i="1"/>
  <c r="CA612" i="1"/>
  <c r="BX612" i="1"/>
  <c r="BW612" i="1"/>
  <c r="BT612" i="1"/>
  <c r="BS612" i="1"/>
  <c r="BP612" i="1"/>
  <c r="BO612" i="1"/>
  <c r="BL612" i="1"/>
  <c r="BK612" i="1"/>
  <c r="BH612" i="1"/>
  <c r="BG612" i="1"/>
  <c r="BD612" i="1"/>
  <c r="BC612" i="1"/>
  <c r="AZ612" i="1"/>
  <c r="AY612" i="1"/>
  <c r="AV612" i="1"/>
  <c r="AU612" i="1"/>
  <c r="AR612" i="1"/>
  <c r="AQ612" i="1"/>
  <c r="AN612" i="1"/>
  <c r="AM612" i="1"/>
  <c r="AJ612" i="1"/>
  <c r="AI612" i="1"/>
  <c r="AF612" i="1"/>
  <c r="AE612" i="1"/>
  <c r="AB612" i="1"/>
  <c r="AA612" i="1"/>
  <c r="X612" i="1"/>
  <c r="W612" i="1"/>
  <c r="T612" i="1"/>
  <c r="S612" i="1"/>
  <c r="P612" i="1"/>
  <c r="O612" i="1"/>
  <c r="L612" i="1"/>
  <c r="K612" i="1"/>
  <c r="H612" i="1"/>
  <c r="G612" i="1"/>
  <c r="D612" i="1"/>
  <c r="C612" i="1"/>
  <c r="CJ611" i="1"/>
  <c r="CI611" i="1"/>
  <c r="CF611" i="1"/>
  <c r="CE611" i="1"/>
  <c r="CB611" i="1"/>
  <c r="CA611" i="1"/>
  <c r="BX611" i="1"/>
  <c r="BW611" i="1"/>
  <c r="BT611" i="1"/>
  <c r="BS611" i="1"/>
  <c r="BP611" i="1"/>
  <c r="BO611" i="1"/>
  <c r="BL611" i="1"/>
  <c r="BK611" i="1"/>
  <c r="BH611" i="1"/>
  <c r="BG611" i="1"/>
  <c r="BD611" i="1"/>
  <c r="BC611" i="1"/>
  <c r="AZ611" i="1"/>
  <c r="AY611" i="1"/>
  <c r="AV611" i="1"/>
  <c r="AU611" i="1"/>
  <c r="AR611" i="1"/>
  <c r="AQ611" i="1"/>
  <c r="AN611" i="1"/>
  <c r="AM611" i="1"/>
  <c r="AJ611" i="1"/>
  <c r="AI611" i="1"/>
  <c r="AF611" i="1"/>
  <c r="AE611" i="1"/>
  <c r="AB611" i="1"/>
  <c r="AA611" i="1"/>
  <c r="X611" i="1"/>
  <c r="W611" i="1"/>
  <c r="T611" i="1"/>
  <c r="S611" i="1"/>
  <c r="P611" i="1"/>
  <c r="O611" i="1"/>
  <c r="L611" i="1"/>
  <c r="K611" i="1"/>
  <c r="H611" i="1"/>
  <c r="G611" i="1"/>
  <c r="D611" i="1"/>
  <c r="C611" i="1"/>
  <c r="CJ610" i="1"/>
  <c r="CI610" i="1"/>
  <c r="CF610" i="1"/>
  <c r="CE610" i="1"/>
  <c r="CB610" i="1"/>
  <c r="CA610" i="1"/>
  <c r="BX610" i="1"/>
  <c r="BW610" i="1"/>
  <c r="BT610" i="1"/>
  <c r="BS610" i="1"/>
  <c r="BP610" i="1"/>
  <c r="BO610" i="1"/>
  <c r="BL610" i="1"/>
  <c r="BK610" i="1"/>
  <c r="BH610" i="1"/>
  <c r="BG610" i="1"/>
  <c r="BD610" i="1"/>
  <c r="BC610" i="1"/>
  <c r="AZ610" i="1"/>
  <c r="AY610" i="1"/>
  <c r="AV610" i="1"/>
  <c r="AU610" i="1"/>
  <c r="AR610" i="1"/>
  <c r="AQ610" i="1"/>
  <c r="AN610" i="1"/>
  <c r="AM610" i="1"/>
  <c r="AJ610" i="1"/>
  <c r="AI610" i="1"/>
  <c r="AF610" i="1"/>
  <c r="AE610" i="1"/>
  <c r="AB610" i="1"/>
  <c r="AA610" i="1"/>
  <c r="X610" i="1"/>
  <c r="W610" i="1"/>
  <c r="T610" i="1"/>
  <c r="S610" i="1"/>
  <c r="P610" i="1"/>
  <c r="O610" i="1"/>
  <c r="L610" i="1"/>
  <c r="K610" i="1"/>
  <c r="H610" i="1"/>
  <c r="G610" i="1"/>
  <c r="D610" i="1"/>
  <c r="C610" i="1"/>
  <c r="CJ609" i="1"/>
  <c r="CI609" i="1"/>
  <c r="CF609" i="1"/>
  <c r="CE609" i="1"/>
  <c r="CB609" i="1"/>
  <c r="CA609" i="1"/>
  <c r="BX609" i="1"/>
  <c r="BW609" i="1"/>
  <c r="BT609" i="1"/>
  <c r="BS609" i="1"/>
  <c r="BP609" i="1"/>
  <c r="BO609" i="1"/>
  <c r="BL609" i="1"/>
  <c r="BK609" i="1"/>
  <c r="BH609" i="1"/>
  <c r="BG609" i="1"/>
  <c r="BD609" i="1"/>
  <c r="BC609" i="1"/>
  <c r="AZ609" i="1"/>
  <c r="AY609" i="1"/>
  <c r="AV609" i="1"/>
  <c r="AU609" i="1"/>
  <c r="AR609" i="1"/>
  <c r="AQ609" i="1"/>
  <c r="AN609" i="1"/>
  <c r="AM609" i="1"/>
  <c r="AJ609" i="1"/>
  <c r="AI609" i="1"/>
  <c r="AF609" i="1"/>
  <c r="AE609" i="1"/>
  <c r="AB609" i="1"/>
  <c r="AA609" i="1"/>
  <c r="X609" i="1"/>
  <c r="W609" i="1"/>
  <c r="T609" i="1"/>
  <c r="S609" i="1"/>
  <c r="P609" i="1"/>
  <c r="O609" i="1"/>
  <c r="L609" i="1"/>
  <c r="K609" i="1"/>
  <c r="H609" i="1"/>
  <c r="G609" i="1"/>
  <c r="D609" i="1"/>
  <c r="C609" i="1"/>
  <c r="CJ608" i="1"/>
  <c r="CI608" i="1"/>
  <c r="CF608" i="1"/>
  <c r="CE608" i="1"/>
  <c r="CB608" i="1"/>
  <c r="CA608" i="1"/>
  <c r="BX608" i="1"/>
  <c r="BW608" i="1"/>
  <c r="BT608" i="1"/>
  <c r="BS608" i="1"/>
  <c r="BP608" i="1"/>
  <c r="BO608" i="1"/>
  <c r="BL608" i="1"/>
  <c r="BK608" i="1"/>
  <c r="BH608" i="1"/>
  <c r="BG608" i="1"/>
  <c r="BD608" i="1"/>
  <c r="BC608" i="1"/>
  <c r="AZ608" i="1"/>
  <c r="AY608" i="1"/>
  <c r="AV608" i="1"/>
  <c r="AU608" i="1"/>
  <c r="AR608" i="1"/>
  <c r="AQ608" i="1"/>
  <c r="AN608" i="1"/>
  <c r="AM608" i="1"/>
  <c r="AJ608" i="1"/>
  <c r="AI608" i="1"/>
  <c r="AF608" i="1"/>
  <c r="AE608" i="1"/>
  <c r="AB608" i="1"/>
  <c r="AA608" i="1"/>
  <c r="X608" i="1"/>
  <c r="W608" i="1"/>
  <c r="T608" i="1"/>
  <c r="S608" i="1"/>
  <c r="P608" i="1"/>
  <c r="O608" i="1"/>
  <c r="L608" i="1"/>
  <c r="K608" i="1"/>
  <c r="H608" i="1"/>
  <c r="G608" i="1"/>
  <c r="D608" i="1"/>
  <c r="C608" i="1"/>
  <c r="CJ607" i="1"/>
  <c r="CI607" i="1"/>
  <c r="CF607" i="1"/>
  <c r="CE607" i="1"/>
  <c r="CB607" i="1"/>
  <c r="CA607" i="1"/>
  <c r="BX607" i="1"/>
  <c r="BW607" i="1"/>
  <c r="BT607" i="1"/>
  <c r="BS607" i="1"/>
  <c r="BP607" i="1"/>
  <c r="BO607" i="1"/>
  <c r="BL607" i="1"/>
  <c r="BK607" i="1"/>
  <c r="BH607" i="1"/>
  <c r="BG607" i="1"/>
  <c r="BD607" i="1"/>
  <c r="BC607" i="1"/>
  <c r="AZ607" i="1"/>
  <c r="AY607" i="1"/>
  <c r="AV607" i="1"/>
  <c r="AU607" i="1"/>
  <c r="AR607" i="1"/>
  <c r="AQ607" i="1"/>
  <c r="AN607" i="1"/>
  <c r="AM607" i="1"/>
  <c r="AJ607" i="1"/>
  <c r="AI607" i="1"/>
  <c r="AF607" i="1"/>
  <c r="AE607" i="1"/>
  <c r="AB607" i="1"/>
  <c r="AA607" i="1"/>
  <c r="X607" i="1"/>
  <c r="W607" i="1"/>
  <c r="T607" i="1"/>
  <c r="S607" i="1"/>
  <c r="P607" i="1"/>
  <c r="O607" i="1"/>
  <c r="L607" i="1"/>
  <c r="K607" i="1"/>
  <c r="H607" i="1"/>
  <c r="G607" i="1"/>
  <c r="D607" i="1"/>
  <c r="C607" i="1"/>
  <c r="CJ600" i="1"/>
  <c r="CI600" i="1"/>
  <c r="CF600" i="1"/>
  <c r="CE600" i="1"/>
  <c r="CB600" i="1"/>
  <c r="CA600" i="1"/>
  <c r="BX600" i="1"/>
  <c r="BW600" i="1"/>
  <c r="BT600" i="1"/>
  <c r="BS600" i="1"/>
  <c r="BP600" i="1"/>
  <c r="BO600" i="1"/>
  <c r="BL600" i="1"/>
  <c r="BK600" i="1"/>
  <c r="BH600" i="1"/>
  <c r="BG600" i="1"/>
  <c r="BD600" i="1"/>
  <c r="BC600" i="1"/>
  <c r="AZ600" i="1"/>
  <c r="AY600" i="1"/>
  <c r="AV600" i="1"/>
  <c r="AU600" i="1"/>
  <c r="AR600" i="1"/>
  <c r="AQ600" i="1"/>
  <c r="AN600" i="1"/>
  <c r="AM600" i="1"/>
  <c r="AJ600" i="1"/>
  <c r="AI600" i="1"/>
  <c r="AF600" i="1"/>
  <c r="AE600" i="1"/>
  <c r="AB600" i="1"/>
  <c r="AA600" i="1"/>
  <c r="X600" i="1"/>
  <c r="W600" i="1"/>
  <c r="T600" i="1"/>
  <c r="S600" i="1"/>
  <c r="P600" i="1"/>
  <c r="O600" i="1"/>
  <c r="L600" i="1"/>
  <c r="K600" i="1"/>
  <c r="H600" i="1"/>
  <c r="G600" i="1"/>
  <c r="D600" i="1"/>
  <c r="C600" i="1"/>
  <c r="CJ598" i="1"/>
  <c r="CI598" i="1"/>
  <c r="CF598" i="1"/>
  <c r="CE598" i="1"/>
  <c r="CB598" i="1"/>
  <c r="CA598" i="1"/>
  <c r="BX598" i="1"/>
  <c r="BW598" i="1"/>
  <c r="BT598" i="1"/>
  <c r="BS598" i="1"/>
  <c r="BP598" i="1"/>
  <c r="BO598" i="1"/>
  <c r="BL598" i="1"/>
  <c r="BK598" i="1"/>
  <c r="BH598" i="1"/>
  <c r="BG598" i="1"/>
  <c r="BD598" i="1"/>
  <c r="BC598" i="1"/>
  <c r="AZ598" i="1"/>
  <c r="AY598" i="1"/>
  <c r="AV598" i="1"/>
  <c r="AU598" i="1"/>
  <c r="AR598" i="1"/>
  <c r="AQ598" i="1"/>
  <c r="AN598" i="1"/>
  <c r="AM598" i="1"/>
  <c r="AJ598" i="1"/>
  <c r="AI598" i="1"/>
  <c r="AF598" i="1"/>
  <c r="AE598" i="1"/>
  <c r="AB598" i="1"/>
  <c r="AA598" i="1"/>
  <c r="X598" i="1"/>
  <c r="W598" i="1"/>
  <c r="T598" i="1"/>
  <c r="S598" i="1"/>
  <c r="P598" i="1"/>
  <c r="O598" i="1"/>
  <c r="L598" i="1"/>
  <c r="K598" i="1"/>
  <c r="H598" i="1"/>
  <c r="G598" i="1"/>
  <c r="D598" i="1"/>
  <c r="C598" i="1"/>
  <c r="CJ597" i="1"/>
  <c r="CI597" i="1"/>
  <c r="CF597" i="1"/>
  <c r="CE597" i="1"/>
  <c r="CB597" i="1"/>
  <c r="CA597" i="1"/>
  <c r="BX597" i="1"/>
  <c r="BW597" i="1"/>
  <c r="BT597" i="1"/>
  <c r="BS597" i="1"/>
  <c r="BP597" i="1"/>
  <c r="BO597" i="1"/>
  <c r="BL597" i="1"/>
  <c r="BK597" i="1"/>
  <c r="BH597" i="1"/>
  <c r="BG597" i="1"/>
  <c r="BD597" i="1"/>
  <c r="BC597" i="1"/>
  <c r="AZ597" i="1"/>
  <c r="AY597" i="1"/>
  <c r="AV597" i="1"/>
  <c r="AU597" i="1"/>
  <c r="AR597" i="1"/>
  <c r="AQ597" i="1"/>
  <c r="AN597" i="1"/>
  <c r="AM597" i="1"/>
  <c r="AJ597" i="1"/>
  <c r="AI597" i="1"/>
  <c r="AF597" i="1"/>
  <c r="AE597" i="1"/>
  <c r="AB597" i="1"/>
  <c r="AA597" i="1"/>
  <c r="X597" i="1"/>
  <c r="W597" i="1"/>
  <c r="T597" i="1"/>
  <c r="S597" i="1"/>
  <c r="P597" i="1"/>
  <c r="O597" i="1"/>
  <c r="L597" i="1"/>
  <c r="K597" i="1"/>
  <c r="H597" i="1"/>
  <c r="G597" i="1"/>
  <c r="D597" i="1"/>
  <c r="C597" i="1"/>
  <c r="CJ596" i="1"/>
  <c r="CI596" i="1"/>
  <c r="CF596" i="1"/>
  <c r="CE596" i="1"/>
  <c r="CB596" i="1"/>
  <c r="CA596" i="1"/>
  <c r="BX596" i="1"/>
  <c r="BW596" i="1"/>
  <c r="BT596" i="1"/>
  <c r="BS596" i="1"/>
  <c r="BP596" i="1"/>
  <c r="BO596" i="1"/>
  <c r="BL596" i="1"/>
  <c r="BK596" i="1"/>
  <c r="BH596" i="1"/>
  <c r="BG596" i="1"/>
  <c r="BD596" i="1"/>
  <c r="BC596" i="1"/>
  <c r="AZ596" i="1"/>
  <c r="AY596" i="1"/>
  <c r="AV596" i="1"/>
  <c r="AU596" i="1"/>
  <c r="AR596" i="1"/>
  <c r="AQ596" i="1"/>
  <c r="AN596" i="1"/>
  <c r="AM596" i="1"/>
  <c r="AJ596" i="1"/>
  <c r="AI596" i="1"/>
  <c r="AF596" i="1"/>
  <c r="AE596" i="1"/>
  <c r="AB596" i="1"/>
  <c r="AA596" i="1"/>
  <c r="X596" i="1"/>
  <c r="W596" i="1"/>
  <c r="T596" i="1"/>
  <c r="S596" i="1"/>
  <c r="P596" i="1"/>
  <c r="O596" i="1"/>
  <c r="L596" i="1"/>
  <c r="K596" i="1"/>
  <c r="H596" i="1"/>
  <c r="G596" i="1"/>
  <c r="D596" i="1"/>
  <c r="C596" i="1"/>
  <c r="CJ595" i="1"/>
  <c r="CI595" i="1"/>
  <c r="CF595" i="1"/>
  <c r="CE595" i="1"/>
  <c r="CB595" i="1"/>
  <c r="CA595" i="1"/>
  <c r="BX595" i="1"/>
  <c r="BW595" i="1"/>
  <c r="BT595" i="1"/>
  <c r="BS595" i="1"/>
  <c r="BP595" i="1"/>
  <c r="BO595" i="1"/>
  <c r="BL595" i="1"/>
  <c r="BK595" i="1"/>
  <c r="BH595" i="1"/>
  <c r="BG595" i="1"/>
  <c r="BD595" i="1"/>
  <c r="BC595" i="1"/>
  <c r="AZ595" i="1"/>
  <c r="AY595" i="1"/>
  <c r="AV595" i="1"/>
  <c r="AU595" i="1"/>
  <c r="AR595" i="1"/>
  <c r="AQ595" i="1"/>
  <c r="AN595" i="1"/>
  <c r="AM595" i="1"/>
  <c r="AJ595" i="1"/>
  <c r="AI595" i="1"/>
  <c r="AF595" i="1"/>
  <c r="AE595" i="1"/>
  <c r="AB595" i="1"/>
  <c r="AA595" i="1"/>
  <c r="X595" i="1"/>
  <c r="W595" i="1"/>
  <c r="T595" i="1"/>
  <c r="S595" i="1"/>
  <c r="P595" i="1"/>
  <c r="O595" i="1"/>
  <c r="L595" i="1"/>
  <c r="K595" i="1"/>
  <c r="H595" i="1"/>
  <c r="G595" i="1"/>
  <c r="D595" i="1"/>
  <c r="C595" i="1"/>
  <c r="CJ594" i="1"/>
  <c r="CI594" i="1"/>
  <c r="CF594" i="1"/>
  <c r="CE594" i="1"/>
  <c r="CB594" i="1"/>
  <c r="CA594" i="1"/>
  <c r="BX594" i="1"/>
  <c r="BW594" i="1"/>
  <c r="BT594" i="1"/>
  <c r="BS594" i="1"/>
  <c r="BP594" i="1"/>
  <c r="BO594" i="1"/>
  <c r="BL594" i="1"/>
  <c r="BK594" i="1"/>
  <c r="BH594" i="1"/>
  <c r="BG594" i="1"/>
  <c r="BD594" i="1"/>
  <c r="BC594" i="1"/>
  <c r="AZ594" i="1"/>
  <c r="AY594" i="1"/>
  <c r="AV594" i="1"/>
  <c r="AU594" i="1"/>
  <c r="AR594" i="1"/>
  <c r="AQ594" i="1"/>
  <c r="AN594" i="1"/>
  <c r="AM594" i="1"/>
  <c r="AJ594" i="1"/>
  <c r="AI594" i="1"/>
  <c r="AF594" i="1"/>
  <c r="AE594" i="1"/>
  <c r="AB594" i="1"/>
  <c r="AA594" i="1"/>
  <c r="X594" i="1"/>
  <c r="W594" i="1"/>
  <c r="T594" i="1"/>
  <c r="S594" i="1"/>
  <c r="P594" i="1"/>
  <c r="O594" i="1"/>
  <c r="L594" i="1"/>
  <c r="K594" i="1"/>
  <c r="H594" i="1"/>
  <c r="G594" i="1"/>
  <c r="D594" i="1"/>
  <c r="C594" i="1"/>
  <c r="CJ593" i="1"/>
  <c r="CI593" i="1"/>
  <c r="CF593" i="1"/>
  <c r="CE593" i="1"/>
  <c r="CB593" i="1"/>
  <c r="CA593" i="1"/>
  <c r="BX593" i="1"/>
  <c r="BW593" i="1"/>
  <c r="BT593" i="1"/>
  <c r="BS593" i="1"/>
  <c r="BP593" i="1"/>
  <c r="BO593" i="1"/>
  <c r="BL593" i="1"/>
  <c r="BK593" i="1"/>
  <c r="BH593" i="1"/>
  <c r="BG593" i="1"/>
  <c r="BD593" i="1"/>
  <c r="BC593" i="1"/>
  <c r="AZ593" i="1"/>
  <c r="AY593" i="1"/>
  <c r="AV593" i="1"/>
  <c r="AU593" i="1"/>
  <c r="AR593" i="1"/>
  <c r="AQ593" i="1"/>
  <c r="AN593" i="1"/>
  <c r="AM593" i="1"/>
  <c r="AJ593" i="1"/>
  <c r="AI593" i="1"/>
  <c r="AF593" i="1"/>
  <c r="AE593" i="1"/>
  <c r="AB593" i="1"/>
  <c r="AA593" i="1"/>
  <c r="X593" i="1"/>
  <c r="W593" i="1"/>
  <c r="T593" i="1"/>
  <c r="S593" i="1"/>
  <c r="P593" i="1"/>
  <c r="O593" i="1"/>
  <c r="L593" i="1"/>
  <c r="K593" i="1"/>
  <c r="H593" i="1"/>
  <c r="G593" i="1"/>
  <c r="D593" i="1"/>
  <c r="C593" i="1"/>
  <c r="CJ592" i="1"/>
  <c r="CI592" i="1"/>
  <c r="CF592" i="1"/>
  <c r="CE592" i="1"/>
  <c r="CB592" i="1"/>
  <c r="CA592" i="1"/>
  <c r="BX592" i="1"/>
  <c r="BW592" i="1"/>
  <c r="BT592" i="1"/>
  <c r="BS592" i="1"/>
  <c r="BP592" i="1"/>
  <c r="BO592" i="1"/>
  <c r="BL592" i="1"/>
  <c r="BK592" i="1"/>
  <c r="BH592" i="1"/>
  <c r="BG592" i="1"/>
  <c r="BD592" i="1"/>
  <c r="BC592" i="1"/>
  <c r="AZ592" i="1"/>
  <c r="AY592" i="1"/>
  <c r="AV592" i="1"/>
  <c r="AU592" i="1"/>
  <c r="AR592" i="1"/>
  <c r="AQ592" i="1"/>
  <c r="AN592" i="1"/>
  <c r="AM592" i="1"/>
  <c r="AJ592" i="1"/>
  <c r="AI592" i="1"/>
  <c r="AF592" i="1"/>
  <c r="AE592" i="1"/>
  <c r="AB592" i="1"/>
  <c r="AA592" i="1"/>
  <c r="X592" i="1"/>
  <c r="W592" i="1"/>
  <c r="T592" i="1"/>
  <c r="S592" i="1"/>
  <c r="P592" i="1"/>
  <c r="O592" i="1"/>
  <c r="L592" i="1"/>
  <c r="K592" i="1"/>
  <c r="H592" i="1"/>
  <c r="G592" i="1"/>
  <c r="D592" i="1"/>
  <c r="C592" i="1"/>
  <c r="CJ591" i="1"/>
  <c r="CI591" i="1"/>
  <c r="CF591" i="1"/>
  <c r="CE591" i="1"/>
  <c r="CB591" i="1"/>
  <c r="CA591" i="1"/>
  <c r="BX591" i="1"/>
  <c r="BW591" i="1"/>
  <c r="BT591" i="1"/>
  <c r="BS591" i="1"/>
  <c r="BP591" i="1"/>
  <c r="BO591" i="1"/>
  <c r="BL591" i="1"/>
  <c r="BK591" i="1"/>
  <c r="BH591" i="1"/>
  <c r="BG591" i="1"/>
  <c r="BD591" i="1"/>
  <c r="BC591" i="1"/>
  <c r="AZ591" i="1"/>
  <c r="AY591" i="1"/>
  <c r="AV591" i="1"/>
  <c r="AU591" i="1"/>
  <c r="AR591" i="1"/>
  <c r="AQ591" i="1"/>
  <c r="AN591" i="1"/>
  <c r="AM591" i="1"/>
  <c r="AJ591" i="1"/>
  <c r="AI591" i="1"/>
  <c r="AF591" i="1"/>
  <c r="AE591" i="1"/>
  <c r="AB591" i="1"/>
  <c r="AA591" i="1"/>
  <c r="X591" i="1"/>
  <c r="W591" i="1"/>
  <c r="T591" i="1"/>
  <c r="S591" i="1"/>
  <c r="P591" i="1"/>
  <c r="O591" i="1"/>
  <c r="L591" i="1"/>
  <c r="K591" i="1"/>
  <c r="H591" i="1"/>
  <c r="G591" i="1"/>
  <c r="D591" i="1"/>
  <c r="C591" i="1"/>
  <c r="CJ589" i="1"/>
  <c r="CI589" i="1"/>
  <c r="CF589" i="1"/>
  <c r="CE589" i="1"/>
  <c r="CB589" i="1"/>
  <c r="CA589" i="1"/>
  <c r="BX589" i="1"/>
  <c r="BW589" i="1"/>
  <c r="BT589" i="1"/>
  <c r="BS589" i="1"/>
  <c r="BP589" i="1"/>
  <c r="BO589" i="1"/>
  <c r="BL589" i="1"/>
  <c r="BK589" i="1"/>
  <c r="BH589" i="1"/>
  <c r="BG589" i="1"/>
  <c r="BD589" i="1"/>
  <c r="BC589" i="1"/>
  <c r="AZ589" i="1"/>
  <c r="AY589" i="1"/>
  <c r="AV589" i="1"/>
  <c r="AU589" i="1"/>
  <c r="AR589" i="1"/>
  <c r="AQ589" i="1"/>
  <c r="AN589" i="1"/>
  <c r="AM589" i="1"/>
  <c r="AJ589" i="1"/>
  <c r="AI589" i="1"/>
  <c r="AF589" i="1"/>
  <c r="AE589" i="1"/>
  <c r="AB589" i="1"/>
  <c r="AA589" i="1"/>
  <c r="X589" i="1"/>
  <c r="W589" i="1"/>
  <c r="T589" i="1"/>
  <c r="S589" i="1"/>
  <c r="P589" i="1"/>
  <c r="O589" i="1"/>
  <c r="L589" i="1"/>
  <c r="K589" i="1"/>
  <c r="H589" i="1"/>
  <c r="G589" i="1"/>
  <c r="D589" i="1"/>
  <c r="C589" i="1"/>
  <c r="CJ588" i="1"/>
  <c r="CI588" i="1"/>
  <c r="CF588" i="1"/>
  <c r="CE588" i="1"/>
  <c r="CB588" i="1"/>
  <c r="CA588" i="1"/>
  <c r="BX588" i="1"/>
  <c r="BW588" i="1"/>
  <c r="BT588" i="1"/>
  <c r="BS588" i="1"/>
  <c r="BP588" i="1"/>
  <c r="BO588" i="1"/>
  <c r="BL588" i="1"/>
  <c r="BK588" i="1"/>
  <c r="BH588" i="1"/>
  <c r="BG588" i="1"/>
  <c r="BD588" i="1"/>
  <c r="BC588" i="1"/>
  <c r="AZ588" i="1"/>
  <c r="AY588" i="1"/>
  <c r="AV588" i="1"/>
  <c r="AU588" i="1"/>
  <c r="AR588" i="1"/>
  <c r="AQ588" i="1"/>
  <c r="AN588" i="1"/>
  <c r="AM588" i="1"/>
  <c r="AJ588" i="1"/>
  <c r="AI588" i="1"/>
  <c r="AF588" i="1"/>
  <c r="AE588" i="1"/>
  <c r="AB588" i="1"/>
  <c r="AA588" i="1"/>
  <c r="X588" i="1"/>
  <c r="W588" i="1"/>
  <c r="T588" i="1"/>
  <c r="S588" i="1"/>
  <c r="P588" i="1"/>
  <c r="O588" i="1"/>
  <c r="L588" i="1"/>
  <c r="K588" i="1"/>
  <c r="H588" i="1"/>
  <c r="G588" i="1"/>
  <c r="D588" i="1"/>
  <c r="C588" i="1"/>
  <c r="CJ587" i="1"/>
  <c r="CI587" i="1"/>
  <c r="CF587" i="1"/>
  <c r="CE587" i="1"/>
  <c r="CB587" i="1"/>
  <c r="CA587" i="1"/>
  <c r="BX587" i="1"/>
  <c r="BW587" i="1"/>
  <c r="BT587" i="1"/>
  <c r="BS587" i="1"/>
  <c r="BP587" i="1"/>
  <c r="BO587" i="1"/>
  <c r="BL587" i="1"/>
  <c r="BK587" i="1"/>
  <c r="BH587" i="1"/>
  <c r="BG587" i="1"/>
  <c r="BD587" i="1"/>
  <c r="BC587" i="1"/>
  <c r="AZ587" i="1"/>
  <c r="AY587" i="1"/>
  <c r="AV587" i="1"/>
  <c r="AU587" i="1"/>
  <c r="AR587" i="1"/>
  <c r="AQ587" i="1"/>
  <c r="AN587" i="1"/>
  <c r="AM587" i="1"/>
  <c r="AJ587" i="1"/>
  <c r="AI587" i="1"/>
  <c r="AF587" i="1"/>
  <c r="AE587" i="1"/>
  <c r="AB587" i="1"/>
  <c r="AA587" i="1"/>
  <c r="X587" i="1"/>
  <c r="W587" i="1"/>
  <c r="T587" i="1"/>
  <c r="S587" i="1"/>
  <c r="P587" i="1"/>
  <c r="O587" i="1"/>
  <c r="L587" i="1"/>
  <c r="K587" i="1"/>
  <c r="H587" i="1"/>
  <c r="G587" i="1"/>
  <c r="D587" i="1"/>
  <c r="C587" i="1"/>
  <c r="CJ586" i="1"/>
  <c r="CI586" i="1"/>
  <c r="CF586" i="1"/>
  <c r="CE586" i="1"/>
  <c r="CB586" i="1"/>
  <c r="CA586" i="1"/>
  <c r="BX586" i="1"/>
  <c r="BW586" i="1"/>
  <c r="BT586" i="1"/>
  <c r="BS586" i="1"/>
  <c r="BP586" i="1"/>
  <c r="BO586" i="1"/>
  <c r="BL586" i="1"/>
  <c r="BK586" i="1"/>
  <c r="BH586" i="1"/>
  <c r="BG586" i="1"/>
  <c r="BD586" i="1"/>
  <c r="BC586" i="1"/>
  <c r="AZ586" i="1"/>
  <c r="AY586" i="1"/>
  <c r="AV586" i="1"/>
  <c r="AU586" i="1"/>
  <c r="AR586" i="1"/>
  <c r="AQ586" i="1"/>
  <c r="AN586" i="1"/>
  <c r="AM586" i="1"/>
  <c r="AJ586" i="1"/>
  <c r="AI586" i="1"/>
  <c r="AF586" i="1"/>
  <c r="AE586" i="1"/>
  <c r="AB586" i="1"/>
  <c r="AA586" i="1"/>
  <c r="X586" i="1"/>
  <c r="W586" i="1"/>
  <c r="T586" i="1"/>
  <c r="S586" i="1"/>
  <c r="P586" i="1"/>
  <c r="O586" i="1"/>
  <c r="L586" i="1"/>
  <c r="K586" i="1"/>
  <c r="H586" i="1"/>
  <c r="G586" i="1"/>
  <c r="D586" i="1"/>
  <c r="C586" i="1"/>
  <c r="CJ585" i="1"/>
  <c r="CI585" i="1"/>
  <c r="CF585" i="1"/>
  <c r="CE585" i="1"/>
  <c r="CB585" i="1"/>
  <c r="CA585" i="1"/>
  <c r="BX585" i="1"/>
  <c r="BW585" i="1"/>
  <c r="BT585" i="1"/>
  <c r="BS585" i="1"/>
  <c r="BP585" i="1"/>
  <c r="BO585" i="1"/>
  <c r="BL585" i="1"/>
  <c r="BK585" i="1"/>
  <c r="BH585" i="1"/>
  <c r="BG585" i="1"/>
  <c r="BD585" i="1"/>
  <c r="BC585" i="1"/>
  <c r="AZ585" i="1"/>
  <c r="AY585" i="1"/>
  <c r="AV585" i="1"/>
  <c r="AU585" i="1"/>
  <c r="AR585" i="1"/>
  <c r="AQ585" i="1"/>
  <c r="AN585" i="1"/>
  <c r="AM585" i="1"/>
  <c r="AJ585" i="1"/>
  <c r="AI585" i="1"/>
  <c r="AF585" i="1"/>
  <c r="AE585" i="1"/>
  <c r="AB585" i="1"/>
  <c r="AA585" i="1"/>
  <c r="X585" i="1"/>
  <c r="W585" i="1"/>
  <c r="T585" i="1"/>
  <c r="S585" i="1"/>
  <c r="P585" i="1"/>
  <c r="O585" i="1"/>
  <c r="L585" i="1"/>
  <c r="K585" i="1"/>
  <c r="H585" i="1"/>
  <c r="G585" i="1"/>
  <c r="D585" i="1"/>
  <c r="C585" i="1"/>
  <c r="CJ584" i="1"/>
  <c r="CI584" i="1"/>
  <c r="CF584" i="1"/>
  <c r="CE584" i="1"/>
  <c r="CB584" i="1"/>
  <c r="CA584" i="1"/>
  <c r="BX584" i="1"/>
  <c r="BW584" i="1"/>
  <c r="BT584" i="1"/>
  <c r="BS584" i="1"/>
  <c r="BP584" i="1"/>
  <c r="BO584" i="1"/>
  <c r="BL584" i="1"/>
  <c r="BK584" i="1"/>
  <c r="BH584" i="1"/>
  <c r="BG584" i="1"/>
  <c r="BD584" i="1"/>
  <c r="BC584" i="1"/>
  <c r="AZ584" i="1"/>
  <c r="AY584" i="1"/>
  <c r="AV584" i="1"/>
  <c r="AU584" i="1"/>
  <c r="AR584" i="1"/>
  <c r="AQ584" i="1"/>
  <c r="AN584" i="1"/>
  <c r="AM584" i="1"/>
  <c r="AJ584" i="1"/>
  <c r="AI584" i="1"/>
  <c r="AF584" i="1"/>
  <c r="AE584" i="1"/>
  <c r="AB584" i="1"/>
  <c r="AA584" i="1"/>
  <c r="X584" i="1"/>
  <c r="W584" i="1"/>
  <c r="T584" i="1"/>
  <c r="S584" i="1"/>
  <c r="P584" i="1"/>
  <c r="O584" i="1"/>
  <c r="L584" i="1"/>
  <c r="K584" i="1"/>
  <c r="H584" i="1"/>
  <c r="G584" i="1"/>
  <c r="D584" i="1"/>
  <c r="C584" i="1"/>
  <c r="CJ583" i="1"/>
  <c r="CI583" i="1"/>
  <c r="CF583" i="1"/>
  <c r="CE583" i="1"/>
  <c r="CB583" i="1"/>
  <c r="CA583" i="1"/>
  <c r="BX583" i="1"/>
  <c r="BW583" i="1"/>
  <c r="BT583" i="1"/>
  <c r="BS583" i="1"/>
  <c r="BP583" i="1"/>
  <c r="BO583" i="1"/>
  <c r="BL583" i="1"/>
  <c r="BK583" i="1"/>
  <c r="BH583" i="1"/>
  <c r="BG583" i="1"/>
  <c r="BD583" i="1"/>
  <c r="BC583" i="1"/>
  <c r="AZ583" i="1"/>
  <c r="AY583" i="1"/>
  <c r="AV583" i="1"/>
  <c r="AU583" i="1"/>
  <c r="AR583" i="1"/>
  <c r="AQ583" i="1"/>
  <c r="AN583" i="1"/>
  <c r="AM583" i="1"/>
  <c r="AJ583" i="1"/>
  <c r="AI583" i="1"/>
  <c r="AF583" i="1"/>
  <c r="AE583" i="1"/>
  <c r="AB583" i="1"/>
  <c r="AA583" i="1"/>
  <c r="X583" i="1"/>
  <c r="W583" i="1"/>
  <c r="T583" i="1"/>
  <c r="S583" i="1"/>
  <c r="P583" i="1"/>
  <c r="O583" i="1"/>
  <c r="L583" i="1"/>
  <c r="K583" i="1"/>
  <c r="H583" i="1"/>
  <c r="G583" i="1"/>
  <c r="D583" i="1"/>
  <c r="C583" i="1"/>
  <c r="CJ582" i="1"/>
  <c r="CI582" i="1"/>
  <c r="CF582" i="1"/>
  <c r="CE582" i="1"/>
  <c r="CB582" i="1"/>
  <c r="CA582" i="1"/>
  <c r="BX582" i="1"/>
  <c r="BW582" i="1"/>
  <c r="BT582" i="1"/>
  <c r="BS582" i="1"/>
  <c r="BP582" i="1"/>
  <c r="BO582" i="1"/>
  <c r="BL582" i="1"/>
  <c r="BK582" i="1"/>
  <c r="BH582" i="1"/>
  <c r="BG582" i="1"/>
  <c r="BD582" i="1"/>
  <c r="BC582" i="1"/>
  <c r="AZ582" i="1"/>
  <c r="AY582" i="1"/>
  <c r="AV582" i="1"/>
  <c r="AU582" i="1"/>
  <c r="AR582" i="1"/>
  <c r="AQ582" i="1"/>
  <c r="AN582" i="1"/>
  <c r="AM582" i="1"/>
  <c r="AJ582" i="1"/>
  <c r="AI582" i="1"/>
  <c r="AF582" i="1"/>
  <c r="AE582" i="1"/>
  <c r="AB582" i="1"/>
  <c r="AA582" i="1"/>
  <c r="X582" i="1"/>
  <c r="W582" i="1"/>
  <c r="T582" i="1"/>
  <c r="S582" i="1"/>
  <c r="P582" i="1"/>
  <c r="O582" i="1"/>
  <c r="L582" i="1"/>
  <c r="K582" i="1"/>
  <c r="H582" i="1"/>
  <c r="G582" i="1"/>
  <c r="D582" i="1"/>
  <c r="C582" i="1"/>
  <c r="CJ580" i="1"/>
  <c r="CI580" i="1"/>
  <c r="CF580" i="1"/>
  <c r="CE580" i="1"/>
  <c r="CB580" i="1"/>
  <c r="CA580" i="1"/>
  <c r="BX580" i="1"/>
  <c r="BW580" i="1"/>
  <c r="BT580" i="1"/>
  <c r="BS580" i="1"/>
  <c r="BP580" i="1"/>
  <c r="BO580" i="1"/>
  <c r="BL580" i="1"/>
  <c r="BK580" i="1"/>
  <c r="BH580" i="1"/>
  <c r="BG580" i="1"/>
  <c r="BD580" i="1"/>
  <c r="BC580" i="1"/>
  <c r="AZ580" i="1"/>
  <c r="AY580" i="1"/>
  <c r="AV580" i="1"/>
  <c r="AU580" i="1"/>
  <c r="AR580" i="1"/>
  <c r="AQ580" i="1"/>
  <c r="AN580" i="1"/>
  <c r="AM580" i="1"/>
  <c r="AJ580" i="1"/>
  <c r="AI580" i="1"/>
  <c r="AF580" i="1"/>
  <c r="AE580" i="1"/>
  <c r="AB580" i="1"/>
  <c r="AA580" i="1"/>
  <c r="X580" i="1"/>
  <c r="W580" i="1"/>
  <c r="T580" i="1"/>
  <c r="S580" i="1"/>
  <c r="P580" i="1"/>
  <c r="O580" i="1"/>
  <c r="L580" i="1"/>
  <c r="K580" i="1"/>
  <c r="H580" i="1"/>
  <c r="G580" i="1"/>
  <c r="D580" i="1"/>
  <c r="C580" i="1"/>
  <c r="CJ579" i="1"/>
  <c r="CI579" i="1"/>
  <c r="CF579" i="1"/>
  <c r="CE579" i="1"/>
  <c r="CB579" i="1"/>
  <c r="CA579" i="1"/>
  <c r="BX579" i="1"/>
  <c r="BW579" i="1"/>
  <c r="BT579" i="1"/>
  <c r="BS579" i="1"/>
  <c r="BP579" i="1"/>
  <c r="BO579" i="1"/>
  <c r="BL579" i="1"/>
  <c r="BK579" i="1"/>
  <c r="BH579" i="1"/>
  <c r="BG579" i="1"/>
  <c r="BD579" i="1"/>
  <c r="BC579" i="1"/>
  <c r="AZ579" i="1"/>
  <c r="AY579" i="1"/>
  <c r="AV579" i="1"/>
  <c r="AU579" i="1"/>
  <c r="AR579" i="1"/>
  <c r="AQ579" i="1"/>
  <c r="AN579" i="1"/>
  <c r="AM579" i="1"/>
  <c r="AJ579" i="1"/>
  <c r="AI579" i="1"/>
  <c r="AF579" i="1"/>
  <c r="AE579" i="1"/>
  <c r="AB579" i="1"/>
  <c r="AA579" i="1"/>
  <c r="X579" i="1"/>
  <c r="W579" i="1"/>
  <c r="T579" i="1"/>
  <c r="S579" i="1"/>
  <c r="P579" i="1"/>
  <c r="O579" i="1"/>
  <c r="L579" i="1"/>
  <c r="K579" i="1"/>
  <c r="H579" i="1"/>
  <c r="G579" i="1"/>
  <c r="D579" i="1"/>
  <c r="C579" i="1"/>
  <c r="CJ578" i="1"/>
  <c r="CI578" i="1"/>
  <c r="CF578" i="1"/>
  <c r="CE578" i="1"/>
  <c r="CB578" i="1"/>
  <c r="CA578" i="1"/>
  <c r="BX578" i="1"/>
  <c r="BW578" i="1"/>
  <c r="BT578" i="1"/>
  <c r="BS578" i="1"/>
  <c r="BP578" i="1"/>
  <c r="BO578" i="1"/>
  <c r="BL578" i="1"/>
  <c r="BK578" i="1"/>
  <c r="BH578" i="1"/>
  <c r="BG578" i="1"/>
  <c r="BD578" i="1"/>
  <c r="BC578" i="1"/>
  <c r="AZ578" i="1"/>
  <c r="AY578" i="1"/>
  <c r="AV578" i="1"/>
  <c r="AU578" i="1"/>
  <c r="AR578" i="1"/>
  <c r="AQ578" i="1"/>
  <c r="AN578" i="1"/>
  <c r="AM578" i="1"/>
  <c r="AJ578" i="1"/>
  <c r="AI578" i="1"/>
  <c r="AF578" i="1"/>
  <c r="AE578" i="1"/>
  <c r="AB578" i="1"/>
  <c r="AA578" i="1"/>
  <c r="X578" i="1"/>
  <c r="W578" i="1"/>
  <c r="T578" i="1"/>
  <c r="S578" i="1"/>
  <c r="P578" i="1"/>
  <c r="O578" i="1"/>
  <c r="L578" i="1"/>
  <c r="K578" i="1"/>
  <c r="H578" i="1"/>
  <c r="G578" i="1"/>
  <c r="D578" i="1"/>
  <c r="C578" i="1"/>
  <c r="CJ577" i="1"/>
  <c r="CI577" i="1"/>
  <c r="CF577" i="1"/>
  <c r="CE577" i="1"/>
  <c r="CB577" i="1"/>
  <c r="CA577" i="1"/>
  <c r="BX577" i="1"/>
  <c r="BW577" i="1"/>
  <c r="BT577" i="1"/>
  <c r="BS577" i="1"/>
  <c r="BP577" i="1"/>
  <c r="BO577" i="1"/>
  <c r="BL577" i="1"/>
  <c r="BK577" i="1"/>
  <c r="BH577" i="1"/>
  <c r="BG577" i="1"/>
  <c r="BD577" i="1"/>
  <c r="BC577" i="1"/>
  <c r="AZ577" i="1"/>
  <c r="AY577" i="1"/>
  <c r="AV577" i="1"/>
  <c r="AU577" i="1"/>
  <c r="AR577" i="1"/>
  <c r="AQ577" i="1"/>
  <c r="AN577" i="1"/>
  <c r="AM577" i="1"/>
  <c r="AJ577" i="1"/>
  <c r="AI577" i="1"/>
  <c r="AF577" i="1"/>
  <c r="AE577" i="1"/>
  <c r="AB577" i="1"/>
  <c r="AA577" i="1"/>
  <c r="X577" i="1"/>
  <c r="W577" i="1"/>
  <c r="T577" i="1"/>
  <c r="S577" i="1"/>
  <c r="P577" i="1"/>
  <c r="O577" i="1"/>
  <c r="L577" i="1"/>
  <c r="K577" i="1"/>
  <c r="H577" i="1"/>
  <c r="G577" i="1"/>
  <c r="D577" i="1"/>
  <c r="C577" i="1"/>
  <c r="CJ576" i="1"/>
  <c r="CI576" i="1"/>
  <c r="CF576" i="1"/>
  <c r="CE576" i="1"/>
  <c r="CB576" i="1"/>
  <c r="CA576" i="1"/>
  <c r="BX576" i="1"/>
  <c r="BW576" i="1"/>
  <c r="BT576" i="1"/>
  <c r="BS576" i="1"/>
  <c r="BP576" i="1"/>
  <c r="BO576" i="1"/>
  <c r="BL576" i="1"/>
  <c r="BK576" i="1"/>
  <c r="BH576" i="1"/>
  <c r="BG576" i="1"/>
  <c r="BD576" i="1"/>
  <c r="BC576" i="1"/>
  <c r="AZ576" i="1"/>
  <c r="AY576" i="1"/>
  <c r="AV576" i="1"/>
  <c r="AU576" i="1"/>
  <c r="AR576" i="1"/>
  <c r="AQ576" i="1"/>
  <c r="AN576" i="1"/>
  <c r="AM576" i="1"/>
  <c r="AJ576" i="1"/>
  <c r="AI576" i="1"/>
  <c r="AF576" i="1"/>
  <c r="AE576" i="1"/>
  <c r="AB576" i="1"/>
  <c r="AA576" i="1"/>
  <c r="X576" i="1"/>
  <c r="W576" i="1"/>
  <c r="T576" i="1"/>
  <c r="S576" i="1"/>
  <c r="P576" i="1"/>
  <c r="O576" i="1"/>
  <c r="L576" i="1"/>
  <c r="K576" i="1"/>
  <c r="H576" i="1"/>
  <c r="G576" i="1"/>
  <c r="D576" i="1"/>
  <c r="C576" i="1"/>
  <c r="CJ575" i="1"/>
  <c r="CI575" i="1"/>
  <c r="CF575" i="1"/>
  <c r="CE575" i="1"/>
  <c r="CB575" i="1"/>
  <c r="CA575" i="1"/>
  <c r="BX575" i="1"/>
  <c r="BW575" i="1"/>
  <c r="BT575" i="1"/>
  <c r="BS575" i="1"/>
  <c r="BP575" i="1"/>
  <c r="BO575" i="1"/>
  <c r="BL575" i="1"/>
  <c r="BK575" i="1"/>
  <c r="BH575" i="1"/>
  <c r="BG575" i="1"/>
  <c r="BD575" i="1"/>
  <c r="BC575" i="1"/>
  <c r="AZ575" i="1"/>
  <c r="AY575" i="1"/>
  <c r="AV575" i="1"/>
  <c r="AU575" i="1"/>
  <c r="AR575" i="1"/>
  <c r="AQ575" i="1"/>
  <c r="AN575" i="1"/>
  <c r="AM575" i="1"/>
  <c r="AJ575" i="1"/>
  <c r="AI575" i="1"/>
  <c r="AF575" i="1"/>
  <c r="AE575" i="1"/>
  <c r="AB575" i="1"/>
  <c r="AA575" i="1"/>
  <c r="X575" i="1"/>
  <c r="W575" i="1"/>
  <c r="T575" i="1"/>
  <c r="S575" i="1"/>
  <c r="P575" i="1"/>
  <c r="O575" i="1"/>
  <c r="L575" i="1"/>
  <c r="K575" i="1"/>
  <c r="H575" i="1"/>
  <c r="G575" i="1"/>
  <c r="D575" i="1"/>
  <c r="C575" i="1"/>
  <c r="CJ574" i="1"/>
  <c r="CI574" i="1"/>
  <c r="CF574" i="1"/>
  <c r="CE574" i="1"/>
  <c r="CB574" i="1"/>
  <c r="CA574" i="1"/>
  <c r="BX574" i="1"/>
  <c r="BW574" i="1"/>
  <c r="BT574" i="1"/>
  <c r="BS574" i="1"/>
  <c r="BP574" i="1"/>
  <c r="BO574" i="1"/>
  <c r="BL574" i="1"/>
  <c r="BK574" i="1"/>
  <c r="BH574" i="1"/>
  <c r="BG574" i="1"/>
  <c r="BD574" i="1"/>
  <c r="BC574" i="1"/>
  <c r="AZ574" i="1"/>
  <c r="AY574" i="1"/>
  <c r="AV574" i="1"/>
  <c r="AU574" i="1"/>
  <c r="AR574" i="1"/>
  <c r="AQ574" i="1"/>
  <c r="AN574" i="1"/>
  <c r="AM574" i="1"/>
  <c r="AJ574" i="1"/>
  <c r="AI574" i="1"/>
  <c r="AF574" i="1"/>
  <c r="AE574" i="1"/>
  <c r="AB574" i="1"/>
  <c r="AA574" i="1"/>
  <c r="X574" i="1"/>
  <c r="W574" i="1"/>
  <c r="T574" i="1"/>
  <c r="S574" i="1"/>
  <c r="P574" i="1"/>
  <c r="O574" i="1"/>
  <c r="L574" i="1"/>
  <c r="K574" i="1"/>
  <c r="H574" i="1"/>
  <c r="G574" i="1"/>
  <c r="D574" i="1"/>
  <c r="C574" i="1"/>
  <c r="CJ573" i="1"/>
  <c r="CI573" i="1"/>
  <c r="CF573" i="1"/>
  <c r="CE573" i="1"/>
  <c r="CB573" i="1"/>
  <c r="CA573" i="1"/>
  <c r="BX573" i="1"/>
  <c r="BW573" i="1"/>
  <c r="BT573" i="1"/>
  <c r="BS573" i="1"/>
  <c r="BP573" i="1"/>
  <c r="BO573" i="1"/>
  <c r="BL573" i="1"/>
  <c r="BK573" i="1"/>
  <c r="BH573" i="1"/>
  <c r="BG573" i="1"/>
  <c r="BD573" i="1"/>
  <c r="BC573" i="1"/>
  <c r="AZ573" i="1"/>
  <c r="AY573" i="1"/>
  <c r="AV573" i="1"/>
  <c r="AU573" i="1"/>
  <c r="AR573" i="1"/>
  <c r="AQ573" i="1"/>
  <c r="AN573" i="1"/>
  <c r="AM573" i="1"/>
  <c r="AJ573" i="1"/>
  <c r="AI573" i="1"/>
  <c r="AF573" i="1"/>
  <c r="AE573" i="1"/>
  <c r="AB573" i="1"/>
  <c r="AA573" i="1"/>
  <c r="X573" i="1"/>
  <c r="W573" i="1"/>
  <c r="T573" i="1"/>
  <c r="S573" i="1"/>
  <c r="P573" i="1"/>
  <c r="O573" i="1"/>
  <c r="L573" i="1"/>
  <c r="K573" i="1"/>
  <c r="H573" i="1"/>
  <c r="G573" i="1"/>
  <c r="D573" i="1"/>
  <c r="C573" i="1"/>
  <c r="CJ571" i="1"/>
  <c r="CI571" i="1"/>
  <c r="CF571" i="1"/>
  <c r="CE571" i="1"/>
  <c r="CB571" i="1"/>
  <c r="CA571" i="1"/>
  <c r="BX571" i="1"/>
  <c r="BW571" i="1"/>
  <c r="BT571" i="1"/>
  <c r="BS571" i="1"/>
  <c r="BP571" i="1"/>
  <c r="BO571" i="1"/>
  <c r="BL571" i="1"/>
  <c r="BK571" i="1"/>
  <c r="BH571" i="1"/>
  <c r="BG571" i="1"/>
  <c r="BD571" i="1"/>
  <c r="BC571" i="1"/>
  <c r="AZ571" i="1"/>
  <c r="AY571" i="1"/>
  <c r="AV571" i="1"/>
  <c r="AU571" i="1"/>
  <c r="AR571" i="1"/>
  <c r="AQ571" i="1"/>
  <c r="AN571" i="1"/>
  <c r="AM571" i="1"/>
  <c r="AJ571" i="1"/>
  <c r="AI571" i="1"/>
  <c r="AF571" i="1"/>
  <c r="AE571" i="1"/>
  <c r="AB571" i="1"/>
  <c r="AA571" i="1"/>
  <c r="X571" i="1"/>
  <c r="W571" i="1"/>
  <c r="T571" i="1"/>
  <c r="S571" i="1"/>
  <c r="P571" i="1"/>
  <c r="O571" i="1"/>
  <c r="L571" i="1"/>
  <c r="K571" i="1"/>
  <c r="H571" i="1"/>
  <c r="G571" i="1"/>
  <c r="D571" i="1"/>
  <c r="C571" i="1"/>
  <c r="CJ570" i="1"/>
  <c r="CI570" i="1"/>
  <c r="CF570" i="1"/>
  <c r="CE570" i="1"/>
  <c r="CB570" i="1"/>
  <c r="CA570" i="1"/>
  <c r="BX570" i="1"/>
  <c r="BW570" i="1"/>
  <c r="BT570" i="1"/>
  <c r="BS570" i="1"/>
  <c r="BP570" i="1"/>
  <c r="BO570" i="1"/>
  <c r="BL570" i="1"/>
  <c r="BK570" i="1"/>
  <c r="BH570" i="1"/>
  <c r="BG570" i="1"/>
  <c r="BD570" i="1"/>
  <c r="BC570" i="1"/>
  <c r="AZ570" i="1"/>
  <c r="AY570" i="1"/>
  <c r="AV570" i="1"/>
  <c r="AU570" i="1"/>
  <c r="AR570" i="1"/>
  <c r="AQ570" i="1"/>
  <c r="AN570" i="1"/>
  <c r="AM570" i="1"/>
  <c r="AJ570" i="1"/>
  <c r="AI570" i="1"/>
  <c r="AF570" i="1"/>
  <c r="AE570" i="1"/>
  <c r="AB570" i="1"/>
  <c r="AA570" i="1"/>
  <c r="X570" i="1"/>
  <c r="W570" i="1"/>
  <c r="T570" i="1"/>
  <c r="S570" i="1"/>
  <c r="P570" i="1"/>
  <c r="O570" i="1"/>
  <c r="L570" i="1"/>
  <c r="K570" i="1"/>
  <c r="H570" i="1"/>
  <c r="G570" i="1"/>
  <c r="D570" i="1"/>
  <c r="C570" i="1"/>
  <c r="CJ569" i="1"/>
  <c r="CI569" i="1"/>
  <c r="CF569" i="1"/>
  <c r="CE569" i="1"/>
  <c r="CB569" i="1"/>
  <c r="CA569" i="1"/>
  <c r="BX569" i="1"/>
  <c r="BW569" i="1"/>
  <c r="BT569" i="1"/>
  <c r="BS569" i="1"/>
  <c r="BP569" i="1"/>
  <c r="BO569" i="1"/>
  <c r="BL569" i="1"/>
  <c r="BK569" i="1"/>
  <c r="BH569" i="1"/>
  <c r="BG569" i="1"/>
  <c r="BD569" i="1"/>
  <c r="BC569" i="1"/>
  <c r="AZ569" i="1"/>
  <c r="AY569" i="1"/>
  <c r="AV569" i="1"/>
  <c r="AU569" i="1"/>
  <c r="AR569" i="1"/>
  <c r="AQ569" i="1"/>
  <c r="AN569" i="1"/>
  <c r="AM569" i="1"/>
  <c r="AJ569" i="1"/>
  <c r="AI569" i="1"/>
  <c r="AF569" i="1"/>
  <c r="AE569" i="1"/>
  <c r="AB569" i="1"/>
  <c r="AA569" i="1"/>
  <c r="X569" i="1"/>
  <c r="W569" i="1"/>
  <c r="T569" i="1"/>
  <c r="S569" i="1"/>
  <c r="P569" i="1"/>
  <c r="O569" i="1"/>
  <c r="L569" i="1"/>
  <c r="K569" i="1"/>
  <c r="H569" i="1"/>
  <c r="G569" i="1"/>
  <c r="D569" i="1"/>
  <c r="C569" i="1"/>
  <c r="CJ568" i="1"/>
  <c r="CI568" i="1"/>
  <c r="CF568" i="1"/>
  <c r="CE568" i="1"/>
  <c r="CB568" i="1"/>
  <c r="CA568" i="1"/>
  <c r="BX568" i="1"/>
  <c r="BW568" i="1"/>
  <c r="BT568" i="1"/>
  <c r="BS568" i="1"/>
  <c r="BP568" i="1"/>
  <c r="BO568" i="1"/>
  <c r="BL568" i="1"/>
  <c r="BK568" i="1"/>
  <c r="BH568" i="1"/>
  <c r="BG568" i="1"/>
  <c r="BD568" i="1"/>
  <c r="BC568" i="1"/>
  <c r="AZ568" i="1"/>
  <c r="AY568" i="1"/>
  <c r="AV568" i="1"/>
  <c r="AU568" i="1"/>
  <c r="AR568" i="1"/>
  <c r="AQ568" i="1"/>
  <c r="AN568" i="1"/>
  <c r="AM568" i="1"/>
  <c r="AJ568" i="1"/>
  <c r="AI568" i="1"/>
  <c r="AF568" i="1"/>
  <c r="AE568" i="1"/>
  <c r="AB568" i="1"/>
  <c r="AA568" i="1"/>
  <c r="X568" i="1"/>
  <c r="W568" i="1"/>
  <c r="T568" i="1"/>
  <c r="S568" i="1"/>
  <c r="P568" i="1"/>
  <c r="O568" i="1"/>
  <c r="L568" i="1"/>
  <c r="K568" i="1"/>
  <c r="H568" i="1"/>
  <c r="G568" i="1"/>
  <c r="D568" i="1"/>
  <c r="C568" i="1"/>
  <c r="CJ567" i="1"/>
  <c r="CI567" i="1"/>
  <c r="CF567" i="1"/>
  <c r="CE567" i="1"/>
  <c r="CB567" i="1"/>
  <c r="CA567" i="1"/>
  <c r="BX567" i="1"/>
  <c r="BW567" i="1"/>
  <c r="BT567" i="1"/>
  <c r="BS567" i="1"/>
  <c r="BP567" i="1"/>
  <c r="BO567" i="1"/>
  <c r="BL567" i="1"/>
  <c r="BK567" i="1"/>
  <c r="BH567" i="1"/>
  <c r="BG567" i="1"/>
  <c r="BD567" i="1"/>
  <c r="BC567" i="1"/>
  <c r="AZ567" i="1"/>
  <c r="AY567" i="1"/>
  <c r="AV567" i="1"/>
  <c r="AU567" i="1"/>
  <c r="AR567" i="1"/>
  <c r="AQ567" i="1"/>
  <c r="AN567" i="1"/>
  <c r="AM567" i="1"/>
  <c r="AJ567" i="1"/>
  <c r="AI567" i="1"/>
  <c r="AF567" i="1"/>
  <c r="AE567" i="1"/>
  <c r="AB567" i="1"/>
  <c r="AA567" i="1"/>
  <c r="X567" i="1"/>
  <c r="W567" i="1"/>
  <c r="T567" i="1"/>
  <c r="S567" i="1"/>
  <c r="P567" i="1"/>
  <c r="O567" i="1"/>
  <c r="L567" i="1"/>
  <c r="K567" i="1"/>
  <c r="H567" i="1"/>
  <c r="G567" i="1"/>
  <c r="D567" i="1"/>
  <c r="C567" i="1"/>
  <c r="CJ566" i="1"/>
  <c r="CI566" i="1"/>
  <c r="CF566" i="1"/>
  <c r="CE566" i="1"/>
  <c r="CB566" i="1"/>
  <c r="CA566" i="1"/>
  <c r="BX566" i="1"/>
  <c r="BW566" i="1"/>
  <c r="BT566" i="1"/>
  <c r="BS566" i="1"/>
  <c r="BP566" i="1"/>
  <c r="BO566" i="1"/>
  <c r="BL566" i="1"/>
  <c r="BK566" i="1"/>
  <c r="BH566" i="1"/>
  <c r="BG566" i="1"/>
  <c r="BD566" i="1"/>
  <c r="BC566" i="1"/>
  <c r="AZ566" i="1"/>
  <c r="AY566" i="1"/>
  <c r="AV566" i="1"/>
  <c r="AU566" i="1"/>
  <c r="AR566" i="1"/>
  <c r="AQ566" i="1"/>
  <c r="AN566" i="1"/>
  <c r="AM566" i="1"/>
  <c r="AJ566" i="1"/>
  <c r="AI566" i="1"/>
  <c r="AF566" i="1"/>
  <c r="AE566" i="1"/>
  <c r="AB566" i="1"/>
  <c r="AA566" i="1"/>
  <c r="X566" i="1"/>
  <c r="W566" i="1"/>
  <c r="T566" i="1"/>
  <c r="S566" i="1"/>
  <c r="P566" i="1"/>
  <c r="O566" i="1"/>
  <c r="L566" i="1"/>
  <c r="K566" i="1"/>
  <c r="H566" i="1"/>
  <c r="G566" i="1"/>
  <c r="D566" i="1"/>
  <c r="C566" i="1"/>
  <c r="CJ565" i="1"/>
  <c r="CI565" i="1"/>
  <c r="CF565" i="1"/>
  <c r="CE565" i="1"/>
  <c r="CB565" i="1"/>
  <c r="CA565" i="1"/>
  <c r="BX565" i="1"/>
  <c r="BW565" i="1"/>
  <c r="BT565" i="1"/>
  <c r="BS565" i="1"/>
  <c r="BP565" i="1"/>
  <c r="BO565" i="1"/>
  <c r="BL565" i="1"/>
  <c r="BK565" i="1"/>
  <c r="BH565" i="1"/>
  <c r="BG565" i="1"/>
  <c r="BD565" i="1"/>
  <c r="BC565" i="1"/>
  <c r="AZ565" i="1"/>
  <c r="AY565" i="1"/>
  <c r="AV565" i="1"/>
  <c r="AU565" i="1"/>
  <c r="AR565" i="1"/>
  <c r="AQ565" i="1"/>
  <c r="AN565" i="1"/>
  <c r="AM565" i="1"/>
  <c r="AJ565" i="1"/>
  <c r="AI565" i="1"/>
  <c r="AF565" i="1"/>
  <c r="AE565" i="1"/>
  <c r="AB565" i="1"/>
  <c r="AA565" i="1"/>
  <c r="X565" i="1"/>
  <c r="W565" i="1"/>
  <c r="T565" i="1"/>
  <c r="S565" i="1"/>
  <c r="P565" i="1"/>
  <c r="O565" i="1"/>
  <c r="L565" i="1"/>
  <c r="K565" i="1"/>
  <c r="H565" i="1"/>
  <c r="G565" i="1"/>
  <c r="D565" i="1"/>
  <c r="C565" i="1"/>
  <c r="CJ564" i="1"/>
  <c r="CI564" i="1"/>
  <c r="CF564" i="1"/>
  <c r="CE564" i="1"/>
  <c r="CB564" i="1"/>
  <c r="CA564" i="1"/>
  <c r="BX564" i="1"/>
  <c r="BW564" i="1"/>
  <c r="BT564" i="1"/>
  <c r="BS564" i="1"/>
  <c r="BP564" i="1"/>
  <c r="BO564" i="1"/>
  <c r="BL564" i="1"/>
  <c r="BK564" i="1"/>
  <c r="BH564" i="1"/>
  <c r="BG564" i="1"/>
  <c r="BD564" i="1"/>
  <c r="BC564" i="1"/>
  <c r="AZ564" i="1"/>
  <c r="AY564" i="1"/>
  <c r="AV564" i="1"/>
  <c r="AU564" i="1"/>
  <c r="AR564" i="1"/>
  <c r="AQ564" i="1"/>
  <c r="AN564" i="1"/>
  <c r="AM564" i="1"/>
  <c r="AJ564" i="1"/>
  <c r="AI564" i="1"/>
  <c r="AF564" i="1"/>
  <c r="AE564" i="1"/>
  <c r="AB564" i="1"/>
  <c r="AA564" i="1"/>
  <c r="X564" i="1"/>
  <c r="W564" i="1"/>
  <c r="T564" i="1"/>
  <c r="S564" i="1"/>
  <c r="P564" i="1"/>
  <c r="O564" i="1"/>
  <c r="L564" i="1"/>
  <c r="K564" i="1"/>
  <c r="H564" i="1"/>
  <c r="G564" i="1"/>
  <c r="D564" i="1"/>
  <c r="C564" i="1"/>
  <c r="CJ562" i="1"/>
  <c r="CI562" i="1"/>
  <c r="CF562" i="1"/>
  <c r="CE562" i="1"/>
  <c r="CB562" i="1"/>
  <c r="CA562" i="1"/>
  <c r="BX562" i="1"/>
  <c r="BW562" i="1"/>
  <c r="BT562" i="1"/>
  <c r="BS562" i="1"/>
  <c r="BP562" i="1"/>
  <c r="BO562" i="1"/>
  <c r="BL562" i="1"/>
  <c r="BK562" i="1"/>
  <c r="BH562" i="1"/>
  <c r="BG562" i="1"/>
  <c r="BD562" i="1"/>
  <c r="BC562" i="1"/>
  <c r="AZ562" i="1"/>
  <c r="AY562" i="1"/>
  <c r="AV562" i="1"/>
  <c r="AU562" i="1"/>
  <c r="AR562" i="1"/>
  <c r="AQ562" i="1"/>
  <c r="AN562" i="1"/>
  <c r="AM562" i="1"/>
  <c r="AJ562" i="1"/>
  <c r="AI562" i="1"/>
  <c r="AF562" i="1"/>
  <c r="AE562" i="1"/>
  <c r="AB562" i="1"/>
  <c r="AA562" i="1"/>
  <c r="X562" i="1"/>
  <c r="W562" i="1"/>
  <c r="T562" i="1"/>
  <c r="S562" i="1"/>
  <c r="P562" i="1"/>
  <c r="O562" i="1"/>
  <c r="L562" i="1"/>
  <c r="K562" i="1"/>
  <c r="H562" i="1"/>
  <c r="G562" i="1"/>
  <c r="D562" i="1"/>
  <c r="C562" i="1"/>
  <c r="CJ561" i="1"/>
  <c r="CI561" i="1"/>
  <c r="CF561" i="1"/>
  <c r="CE561" i="1"/>
  <c r="CB561" i="1"/>
  <c r="CA561" i="1"/>
  <c r="BX561" i="1"/>
  <c r="BW561" i="1"/>
  <c r="BT561" i="1"/>
  <c r="BS561" i="1"/>
  <c r="BP561" i="1"/>
  <c r="BO561" i="1"/>
  <c r="BL561" i="1"/>
  <c r="BK561" i="1"/>
  <c r="BH561" i="1"/>
  <c r="BG561" i="1"/>
  <c r="BD561" i="1"/>
  <c r="BC561" i="1"/>
  <c r="AZ561" i="1"/>
  <c r="AY561" i="1"/>
  <c r="AV561" i="1"/>
  <c r="AU561" i="1"/>
  <c r="AR561" i="1"/>
  <c r="AQ561" i="1"/>
  <c r="AN561" i="1"/>
  <c r="AM561" i="1"/>
  <c r="AJ561" i="1"/>
  <c r="AI561" i="1"/>
  <c r="AF561" i="1"/>
  <c r="AE561" i="1"/>
  <c r="AB561" i="1"/>
  <c r="AA561" i="1"/>
  <c r="X561" i="1"/>
  <c r="W561" i="1"/>
  <c r="T561" i="1"/>
  <c r="S561" i="1"/>
  <c r="P561" i="1"/>
  <c r="O561" i="1"/>
  <c r="L561" i="1"/>
  <c r="K561" i="1"/>
  <c r="H561" i="1"/>
  <c r="G561" i="1"/>
  <c r="D561" i="1"/>
  <c r="C561" i="1"/>
  <c r="CJ560" i="1"/>
  <c r="CI560" i="1"/>
  <c r="CF560" i="1"/>
  <c r="CE560" i="1"/>
  <c r="CB560" i="1"/>
  <c r="CA560" i="1"/>
  <c r="BX560" i="1"/>
  <c r="BW560" i="1"/>
  <c r="BT560" i="1"/>
  <c r="BS560" i="1"/>
  <c r="BP560" i="1"/>
  <c r="BO560" i="1"/>
  <c r="BL560" i="1"/>
  <c r="BK560" i="1"/>
  <c r="BH560" i="1"/>
  <c r="BG560" i="1"/>
  <c r="BD560" i="1"/>
  <c r="BC560" i="1"/>
  <c r="AZ560" i="1"/>
  <c r="AY560" i="1"/>
  <c r="AV560" i="1"/>
  <c r="AU560" i="1"/>
  <c r="AR560" i="1"/>
  <c r="AQ560" i="1"/>
  <c r="AN560" i="1"/>
  <c r="AM560" i="1"/>
  <c r="AJ560" i="1"/>
  <c r="AI560" i="1"/>
  <c r="AF560" i="1"/>
  <c r="AE560" i="1"/>
  <c r="AB560" i="1"/>
  <c r="AA560" i="1"/>
  <c r="X560" i="1"/>
  <c r="W560" i="1"/>
  <c r="T560" i="1"/>
  <c r="S560" i="1"/>
  <c r="P560" i="1"/>
  <c r="O560" i="1"/>
  <c r="L560" i="1"/>
  <c r="K560" i="1"/>
  <c r="H560" i="1"/>
  <c r="G560" i="1"/>
  <c r="D560" i="1"/>
  <c r="C560" i="1"/>
  <c r="CJ559" i="1"/>
  <c r="CI559" i="1"/>
  <c r="CF559" i="1"/>
  <c r="CE559" i="1"/>
  <c r="CB559" i="1"/>
  <c r="CA559" i="1"/>
  <c r="BX559" i="1"/>
  <c r="BW559" i="1"/>
  <c r="BT559" i="1"/>
  <c r="BS559" i="1"/>
  <c r="BP559" i="1"/>
  <c r="BO559" i="1"/>
  <c r="BL559" i="1"/>
  <c r="BK559" i="1"/>
  <c r="BH559" i="1"/>
  <c r="BG559" i="1"/>
  <c r="BD559" i="1"/>
  <c r="BC559" i="1"/>
  <c r="AZ559" i="1"/>
  <c r="AY559" i="1"/>
  <c r="AV559" i="1"/>
  <c r="AU559" i="1"/>
  <c r="AR559" i="1"/>
  <c r="AQ559" i="1"/>
  <c r="AN559" i="1"/>
  <c r="AM559" i="1"/>
  <c r="AJ559" i="1"/>
  <c r="AI559" i="1"/>
  <c r="AF559" i="1"/>
  <c r="AE559" i="1"/>
  <c r="AB559" i="1"/>
  <c r="AA559" i="1"/>
  <c r="X559" i="1"/>
  <c r="W559" i="1"/>
  <c r="T559" i="1"/>
  <c r="S559" i="1"/>
  <c r="P559" i="1"/>
  <c r="O559" i="1"/>
  <c r="L559" i="1"/>
  <c r="K559" i="1"/>
  <c r="H559" i="1"/>
  <c r="G559" i="1"/>
  <c r="D559" i="1"/>
  <c r="C559" i="1"/>
  <c r="CJ558" i="1"/>
  <c r="CI558" i="1"/>
  <c r="CF558" i="1"/>
  <c r="CE558" i="1"/>
  <c r="CB558" i="1"/>
  <c r="CA558" i="1"/>
  <c r="BX558" i="1"/>
  <c r="BW558" i="1"/>
  <c r="BT558" i="1"/>
  <c r="BS558" i="1"/>
  <c r="BP558" i="1"/>
  <c r="BO558" i="1"/>
  <c r="BL558" i="1"/>
  <c r="BK558" i="1"/>
  <c r="BH558" i="1"/>
  <c r="BG558" i="1"/>
  <c r="BD558" i="1"/>
  <c r="BC558" i="1"/>
  <c r="AZ558" i="1"/>
  <c r="AY558" i="1"/>
  <c r="AV558" i="1"/>
  <c r="AU558" i="1"/>
  <c r="AR558" i="1"/>
  <c r="AQ558" i="1"/>
  <c r="AN558" i="1"/>
  <c r="AM558" i="1"/>
  <c r="AJ558" i="1"/>
  <c r="AI558" i="1"/>
  <c r="AF558" i="1"/>
  <c r="AE558" i="1"/>
  <c r="AB558" i="1"/>
  <c r="AA558" i="1"/>
  <c r="X558" i="1"/>
  <c r="W558" i="1"/>
  <c r="T558" i="1"/>
  <c r="S558" i="1"/>
  <c r="P558" i="1"/>
  <c r="O558" i="1"/>
  <c r="L558" i="1"/>
  <c r="K558" i="1"/>
  <c r="H558" i="1"/>
  <c r="G558" i="1"/>
  <c r="D558" i="1"/>
  <c r="C558" i="1"/>
  <c r="CJ557" i="1"/>
  <c r="CI557" i="1"/>
  <c r="CF557" i="1"/>
  <c r="CE557" i="1"/>
  <c r="CB557" i="1"/>
  <c r="CA557" i="1"/>
  <c r="BX557" i="1"/>
  <c r="BW557" i="1"/>
  <c r="BT557" i="1"/>
  <c r="BS557" i="1"/>
  <c r="BP557" i="1"/>
  <c r="BO557" i="1"/>
  <c r="BL557" i="1"/>
  <c r="BK557" i="1"/>
  <c r="BH557" i="1"/>
  <c r="BG557" i="1"/>
  <c r="BD557" i="1"/>
  <c r="BC557" i="1"/>
  <c r="AZ557" i="1"/>
  <c r="AY557" i="1"/>
  <c r="AV557" i="1"/>
  <c r="AU557" i="1"/>
  <c r="AR557" i="1"/>
  <c r="AQ557" i="1"/>
  <c r="AN557" i="1"/>
  <c r="AM557" i="1"/>
  <c r="AJ557" i="1"/>
  <c r="AI557" i="1"/>
  <c r="AF557" i="1"/>
  <c r="AE557" i="1"/>
  <c r="AB557" i="1"/>
  <c r="AA557" i="1"/>
  <c r="X557" i="1"/>
  <c r="W557" i="1"/>
  <c r="T557" i="1"/>
  <c r="S557" i="1"/>
  <c r="P557" i="1"/>
  <c r="O557" i="1"/>
  <c r="L557" i="1"/>
  <c r="K557" i="1"/>
  <c r="H557" i="1"/>
  <c r="G557" i="1"/>
  <c r="D557" i="1"/>
  <c r="C557" i="1"/>
  <c r="CJ556" i="1"/>
  <c r="CI556" i="1"/>
  <c r="CF556" i="1"/>
  <c r="CE556" i="1"/>
  <c r="CB556" i="1"/>
  <c r="CA556" i="1"/>
  <c r="BX556" i="1"/>
  <c r="BW556" i="1"/>
  <c r="BT556" i="1"/>
  <c r="BS556" i="1"/>
  <c r="BP556" i="1"/>
  <c r="BO556" i="1"/>
  <c r="BL556" i="1"/>
  <c r="BK556" i="1"/>
  <c r="BH556" i="1"/>
  <c r="BG556" i="1"/>
  <c r="BD556" i="1"/>
  <c r="BC556" i="1"/>
  <c r="AZ556" i="1"/>
  <c r="AY556" i="1"/>
  <c r="AV556" i="1"/>
  <c r="AU556" i="1"/>
  <c r="AR556" i="1"/>
  <c r="AQ556" i="1"/>
  <c r="AN556" i="1"/>
  <c r="AM556" i="1"/>
  <c r="AJ556" i="1"/>
  <c r="AI556" i="1"/>
  <c r="AF556" i="1"/>
  <c r="AE556" i="1"/>
  <c r="AB556" i="1"/>
  <c r="AA556" i="1"/>
  <c r="X556" i="1"/>
  <c r="W556" i="1"/>
  <c r="T556" i="1"/>
  <c r="S556" i="1"/>
  <c r="P556" i="1"/>
  <c r="O556" i="1"/>
  <c r="L556" i="1"/>
  <c r="K556" i="1"/>
  <c r="H556" i="1"/>
  <c r="G556" i="1"/>
  <c r="D556" i="1"/>
  <c r="C556" i="1"/>
  <c r="CJ555" i="1"/>
  <c r="CI555" i="1"/>
  <c r="CF555" i="1"/>
  <c r="CE555" i="1"/>
  <c r="CB555" i="1"/>
  <c r="CA555" i="1"/>
  <c r="BX555" i="1"/>
  <c r="BW555" i="1"/>
  <c r="BT555" i="1"/>
  <c r="BS555" i="1"/>
  <c r="BP555" i="1"/>
  <c r="BO555" i="1"/>
  <c r="BL555" i="1"/>
  <c r="BK555" i="1"/>
  <c r="BH555" i="1"/>
  <c r="BG555" i="1"/>
  <c r="BD555" i="1"/>
  <c r="BC555" i="1"/>
  <c r="AZ555" i="1"/>
  <c r="AY555" i="1"/>
  <c r="AV555" i="1"/>
  <c r="AU555" i="1"/>
  <c r="AR555" i="1"/>
  <c r="AQ555" i="1"/>
  <c r="AN555" i="1"/>
  <c r="AM555" i="1"/>
  <c r="AJ555" i="1"/>
  <c r="AI555" i="1"/>
  <c r="AF555" i="1"/>
  <c r="AE555" i="1"/>
  <c r="AB555" i="1"/>
  <c r="AA555" i="1"/>
  <c r="X555" i="1"/>
  <c r="W555" i="1"/>
  <c r="T555" i="1"/>
  <c r="S555" i="1"/>
  <c r="P555" i="1"/>
  <c r="O555" i="1"/>
  <c r="L555" i="1"/>
  <c r="K555" i="1"/>
  <c r="H555" i="1"/>
  <c r="G555" i="1"/>
  <c r="D555" i="1"/>
  <c r="C555" i="1"/>
  <c r="CJ553" i="1"/>
  <c r="CI553" i="1"/>
  <c r="CF553" i="1"/>
  <c r="CE553" i="1"/>
  <c r="CB553" i="1"/>
  <c r="CA553" i="1"/>
  <c r="BX553" i="1"/>
  <c r="BW553" i="1"/>
  <c r="BT553" i="1"/>
  <c r="BS553" i="1"/>
  <c r="BP553" i="1"/>
  <c r="BO553" i="1"/>
  <c r="BL553" i="1"/>
  <c r="BK553" i="1"/>
  <c r="BH553" i="1"/>
  <c r="BG553" i="1"/>
  <c r="BD553" i="1"/>
  <c r="BC553" i="1"/>
  <c r="AZ553" i="1"/>
  <c r="AY553" i="1"/>
  <c r="AV553" i="1"/>
  <c r="AU553" i="1"/>
  <c r="AR553" i="1"/>
  <c r="AQ553" i="1"/>
  <c r="AN553" i="1"/>
  <c r="AM553" i="1"/>
  <c r="AJ553" i="1"/>
  <c r="AI553" i="1"/>
  <c r="AF553" i="1"/>
  <c r="AE553" i="1"/>
  <c r="AB553" i="1"/>
  <c r="AA553" i="1"/>
  <c r="X553" i="1"/>
  <c r="W553" i="1"/>
  <c r="T553" i="1"/>
  <c r="S553" i="1"/>
  <c r="P553" i="1"/>
  <c r="O553" i="1"/>
  <c r="L553" i="1"/>
  <c r="K553" i="1"/>
  <c r="H553" i="1"/>
  <c r="G553" i="1"/>
  <c r="D553" i="1"/>
  <c r="C553" i="1"/>
  <c r="CJ552" i="1"/>
  <c r="CI552" i="1"/>
  <c r="CF552" i="1"/>
  <c r="CE552" i="1"/>
  <c r="CB552" i="1"/>
  <c r="CA552" i="1"/>
  <c r="BX552" i="1"/>
  <c r="BW552" i="1"/>
  <c r="BT552" i="1"/>
  <c r="BS552" i="1"/>
  <c r="BP552" i="1"/>
  <c r="BO552" i="1"/>
  <c r="BL552" i="1"/>
  <c r="BK552" i="1"/>
  <c r="BH552" i="1"/>
  <c r="BG552" i="1"/>
  <c r="BD552" i="1"/>
  <c r="BC552" i="1"/>
  <c r="AZ552" i="1"/>
  <c r="AY552" i="1"/>
  <c r="AV552" i="1"/>
  <c r="AU552" i="1"/>
  <c r="AR552" i="1"/>
  <c r="AQ552" i="1"/>
  <c r="AN552" i="1"/>
  <c r="AM552" i="1"/>
  <c r="AJ552" i="1"/>
  <c r="AI552" i="1"/>
  <c r="AF552" i="1"/>
  <c r="AE552" i="1"/>
  <c r="AB552" i="1"/>
  <c r="AA552" i="1"/>
  <c r="X552" i="1"/>
  <c r="W552" i="1"/>
  <c r="T552" i="1"/>
  <c r="S552" i="1"/>
  <c r="P552" i="1"/>
  <c r="O552" i="1"/>
  <c r="L552" i="1"/>
  <c r="K552" i="1"/>
  <c r="H552" i="1"/>
  <c r="G552" i="1"/>
  <c r="D552" i="1"/>
  <c r="C552" i="1"/>
  <c r="CJ551" i="1"/>
  <c r="CI551" i="1"/>
  <c r="CF551" i="1"/>
  <c r="CE551" i="1"/>
  <c r="CB551" i="1"/>
  <c r="CA551" i="1"/>
  <c r="BX551" i="1"/>
  <c r="BW551" i="1"/>
  <c r="BT551" i="1"/>
  <c r="BS551" i="1"/>
  <c r="BP551" i="1"/>
  <c r="BO551" i="1"/>
  <c r="BL551" i="1"/>
  <c r="BK551" i="1"/>
  <c r="BH551" i="1"/>
  <c r="BG551" i="1"/>
  <c r="BD551" i="1"/>
  <c r="BC551" i="1"/>
  <c r="AZ551" i="1"/>
  <c r="AY551" i="1"/>
  <c r="AV551" i="1"/>
  <c r="AU551" i="1"/>
  <c r="AR551" i="1"/>
  <c r="AQ551" i="1"/>
  <c r="AN551" i="1"/>
  <c r="AM551" i="1"/>
  <c r="AJ551" i="1"/>
  <c r="AI551" i="1"/>
  <c r="AF551" i="1"/>
  <c r="AE551" i="1"/>
  <c r="AB551" i="1"/>
  <c r="AA551" i="1"/>
  <c r="X551" i="1"/>
  <c r="W551" i="1"/>
  <c r="T551" i="1"/>
  <c r="S551" i="1"/>
  <c r="P551" i="1"/>
  <c r="O551" i="1"/>
  <c r="L551" i="1"/>
  <c r="K551" i="1"/>
  <c r="H551" i="1"/>
  <c r="G551" i="1"/>
  <c r="D551" i="1"/>
  <c r="C551" i="1"/>
  <c r="CJ550" i="1"/>
  <c r="CI550" i="1"/>
  <c r="CF550" i="1"/>
  <c r="CE550" i="1"/>
  <c r="CB550" i="1"/>
  <c r="CA550" i="1"/>
  <c r="BX550" i="1"/>
  <c r="BW550" i="1"/>
  <c r="BT550" i="1"/>
  <c r="BS550" i="1"/>
  <c r="BP550" i="1"/>
  <c r="BO550" i="1"/>
  <c r="BL550" i="1"/>
  <c r="BK550" i="1"/>
  <c r="BH550" i="1"/>
  <c r="BG550" i="1"/>
  <c r="BD550" i="1"/>
  <c r="BC550" i="1"/>
  <c r="AZ550" i="1"/>
  <c r="AY550" i="1"/>
  <c r="AV550" i="1"/>
  <c r="AU550" i="1"/>
  <c r="AR550" i="1"/>
  <c r="AQ550" i="1"/>
  <c r="AN550" i="1"/>
  <c r="AM550" i="1"/>
  <c r="AJ550" i="1"/>
  <c r="AI550" i="1"/>
  <c r="AF550" i="1"/>
  <c r="AE550" i="1"/>
  <c r="AB550" i="1"/>
  <c r="AA550" i="1"/>
  <c r="X550" i="1"/>
  <c r="W550" i="1"/>
  <c r="T550" i="1"/>
  <c r="S550" i="1"/>
  <c r="P550" i="1"/>
  <c r="O550" i="1"/>
  <c r="L550" i="1"/>
  <c r="K550" i="1"/>
  <c r="H550" i="1"/>
  <c r="G550" i="1"/>
  <c r="D550" i="1"/>
  <c r="C550" i="1"/>
  <c r="CJ549" i="1"/>
  <c r="CI549" i="1"/>
  <c r="CF549" i="1"/>
  <c r="CE549" i="1"/>
  <c r="CB549" i="1"/>
  <c r="CA549" i="1"/>
  <c r="BX549" i="1"/>
  <c r="BW549" i="1"/>
  <c r="BT549" i="1"/>
  <c r="BS549" i="1"/>
  <c r="BP549" i="1"/>
  <c r="BO549" i="1"/>
  <c r="BL549" i="1"/>
  <c r="BK549" i="1"/>
  <c r="BH549" i="1"/>
  <c r="BG549" i="1"/>
  <c r="BD549" i="1"/>
  <c r="BC549" i="1"/>
  <c r="AZ549" i="1"/>
  <c r="AY549" i="1"/>
  <c r="AV549" i="1"/>
  <c r="AU549" i="1"/>
  <c r="AR549" i="1"/>
  <c r="AQ549" i="1"/>
  <c r="AN549" i="1"/>
  <c r="AM549" i="1"/>
  <c r="AJ549" i="1"/>
  <c r="AI549" i="1"/>
  <c r="AF549" i="1"/>
  <c r="AE549" i="1"/>
  <c r="AB549" i="1"/>
  <c r="AA549" i="1"/>
  <c r="X549" i="1"/>
  <c r="W549" i="1"/>
  <c r="T549" i="1"/>
  <c r="S549" i="1"/>
  <c r="P549" i="1"/>
  <c r="O549" i="1"/>
  <c r="L549" i="1"/>
  <c r="K549" i="1"/>
  <c r="H549" i="1"/>
  <c r="G549" i="1"/>
  <c r="D549" i="1"/>
  <c r="C549" i="1"/>
  <c r="CJ548" i="1"/>
  <c r="CI548" i="1"/>
  <c r="CF548" i="1"/>
  <c r="CE548" i="1"/>
  <c r="CB548" i="1"/>
  <c r="CA548" i="1"/>
  <c r="BX548" i="1"/>
  <c r="BW548" i="1"/>
  <c r="BT548" i="1"/>
  <c r="BS548" i="1"/>
  <c r="BP548" i="1"/>
  <c r="BO548" i="1"/>
  <c r="BL548" i="1"/>
  <c r="BK548" i="1"/>
  <c r="BH548" i="1"/>
  <c r="BG548" i="1"/>
  <c r="BD548" i="1"/>
  <c r="BC548" i="1"/>
  <c r="AZ548" i="1"/>
  <c r="AY548" i="1"/>
  <c r="AV548" i="1"/>
  <c r="AU548" i="1"/>
  <c r="AR548" i="1"/>
  <c r="AQ548" i="1"/>
  <c r="AN548" i="1"/>
  <c r="AM548" i="1"/>
  <c r="AJ548" i="1"/>
  <c r="AI548" i="1"/>
  <c r="AF548" i="1"/>
  <c r="AE548" i="1"/>
  <c r="AB548" i="1"/>
  <c r="AA548" i="1"/>
  <c r="X548" i="1"/>
  <c r="W548" i="1"/>
  <c r="T548" i="1"/>
  <c r="S548" i="1"/>
  <c r="P548" i="1"/>
  <c r="O548" i="1"/>
  <c r="L548" i="1"/>
  <c r="K548" i="1"/>
  <c r="H548" i="1"/>
  <c r="G548" i="1"/>
  <c r="D548" i="1"/>
  <c r="C548" i="1"/>
  <c r="CJ547" i="1"/>
  <c r="CI547" i="1"/>
  <c r="CF547" i="1"/>
  <c r="CE547" i="1"/>
  <c r="CB547" i="1"/>
  <c r="CA547" i="1"/>
  <c r="BX547" i="1"/>
  <c r="BW547" i="1"/>
  <c r="BT547" i="1"/>
  <c r="BS547" i="1"/>
  <c r="BP547" i="1"/>
  <c r="BO547" i="1"/>
  <c r="BL547" i="1"/>
  <c r="BK547" i="1"/>
  <c r="BH547" i="1"/>
  <c r="BG547" i="1"/>
  <c r="BD547" i="1"/>
  <c r="BC547" i="1"/>
  <c r="AZ547" i="1"/>
  <c r="AY547" i="1"/>
  <c r="AV547" i="1"/>
  <c r="AU547" i="1"/>
  <c r="AR547" i="1"/>
  <c r="AQ547" i="1"/>
  <c r="AN547" i="1"/>
  <c r="AM547" i="1"/>
  <c r="AJ547" i="1"/>
  <c r="AI547" i="1"/>
  <c r="AF547" i="1"/>
  <c r="AE547" i="1"/>
  <c r="AB547" i="1"/>
  <c r="AA547" i="1"/>
  <c r="X547" i="1"/>
  <c r="W547" i="1"/>
  <c r="T547" i="1"/>
  <c r="S547" i="1"/>
  <c r="P547" i="1"/>
  <c r="O547" i="1"/>
  <c r="L547" i="1"/>
  <c r="K547" i="1"/>
  <c r="H547" i="1"/>
  <c r="G547" i="1"/>
  <c r="D547" i="1"/>
  <c r="C547" i="1"/>
  <c r="CJ546" i="1"/>
  <c r="CI546" i="1"/>
  <c r="CF546" i="1"/>
  <c r="CE546" i="1"/>
  <c r="CB546" i="1"/>
  <c r="CA546" i="1"/>
  <c r="BX546" i="1"/>
  <c r="BW546" i="1"/>
  <c r="BT546" i="1"/>
  <c r="BS546" i="1"/>
  <c r="BP546" i="1"/>
  <c r="BO546" i="1"/>
  <c r="BL546" i="1"/>
  <c r="BK546" i="1"/>
  <c r="BH546" i="1"/>
  <c r="BG546" i="1"/>
  <c r="BD546" i="1"/>
  <c r="BC546" i="1"/>
  <c r="AZ546" i="1"/>
  <c r="AY546" i="1"/>
  <c r="AV546" i="1"/>
  <c r="AU546" i="1"/>
  <c r="AR546" i="1"/>
  <c r="AQ546" i="1"/>
  <c r="AN546" i="1"/>
  <c r="AM546" i="1"/>
  <c r="AJ546" i="1"/>
  <c r="AI546" i="1"/>
  <c r="AF546" i="1"/>
  <c r="AE546" i="1"/>
  <c r="AB546" i="1"/>
  <c r="AA546" i="1"/>
  <c r="X546" i="1"/>
  <c r="W546" i="1"/>
  <c r="T546" i="1"/>
  <c r="S546" i="1"/>
  <c r="P546" i="1"/>
  <c r="O546" i="1"/>
  <c r="L546" i="1"/>
  <c r="K546" i="1"/>
  <c r="H546" i="1"/>
  <c r="G546" i="1"/>
  <c r="D546" i="1"/>
  <c r="C546" i="1"/>
  <c r="CJ544" i="1"/>
  <c r="CI544" i="1"/>
  <c r="CF544" i="1"/>
  <c r="CE544" i="1"/>
  <c r="CB544" i="1"/>
  <c r="CA544" i="1"/>
  <c r="BX544" i="1"/>
  <c r="BW544" i="1"/>
  <c r="BT544" i="1"/>
  <c r="BS544" i="1"/>
  <c r="BP544" i="1"/>
  <c r="BO544" i="1"/>
  <c r="BL544" i="1"/>
  <c r="BK544" i="1"/>
  <c r="BH544" i="1"/>
  <c r="BG544" i="1"/>
  <c r="BD544" i="1"/>
  <c r="BC544" i="1"/>
  <c r="AZ544" i="1"/>
  <c r="AY544" i="1"/>
  <c r="AV544" i="1"/>
  <c r="AU544" i="1"/>
  <c r="AR544" i="1"/>
  <c r="AQ544" i="1"/>
  <c r="AN544" i="1"/>
  <c r="AM544" i="1"/>
  <c r="AJ544" i="1"/>
  <c r="AI544" i="1"/>
  <c r="AF544" i="1"/>
  <c r="AE544" i="1"/>
  <c r="AB544" i="1"/>
  <c r="AA544" i="1"/>
  <c r="X544" i="1"/>
  <c r="W544" i="1"/>
  <c r="T544" i="1"/>
  <c r="S544" i="1"/>
  <c r="P544" i="1"/>
  <c r="O544" i="1"/>
  <c r="L544" i="1"/>
  <c r="K544" i="1"/>
  <c r="H544" i="1"/>
  <c r="G544" i="1"/>
  <c r="D544" i="1"/>
  <c r="C544" i="1"/>
  <c r="CJ543" i="1"/>
  <c r="CI543" i="1"/>
  <c r="CF543" i="1"/>
  <c r="CE543" i="1"/>
  <c r="CB543" i="1"/>
  <c r="CA543" i="1"/>
  <c r="BX543" i="1"/>
  <c r="BW543" i="1"/>
  <c r="BT543" i="1"/>
  <c r="BS543" i="1"/>
  <c r="BP543" i="1"/>
  <c r="BO543" i="1"/>
  <c r="BL543" i="1"/>
  <c r="BK543" i="1"/>
  <c r="BH543" i="1"/>
  <c r="BG543" i="1"/>
  <c r="BD543" i="1"/>
  <c r="BC543" i="1"/>
  <c r="AZ543" i="1"/>
  <c r="AY543" i="1"/>
  <c r="AV543" i="1"/>
  <c r="AU543" i="1"/>
  <c r="AR543" i="1"/>
  <c r="AQ543" i="1"/>
  <c r="AN543" i="1"/>
  <c r="AM543" i="1"/>
  <c r="AJ543" i="1"/>
  <c r="AI543" i="1"/>
  <c r="AF543" i="1"/>
  <c r="AE543" i="1"/>
  <c r="AB543" i="1"/>
  <c r="AA543" i="1"/>
  <c r="X543" i="1"/>
  <c r="W543" i="1"/>
  <c r="T543" i="1"/>
  <c r="S543" i="1"/>
  <c r="P543" i="1"/>
  <c r="O543" i="1"/>
  <c r="L543" i="1"/>
  <c r="K543" i="1"/>
  <c r="H543" i="1"/>
  <c r="G543" i="1"/>
  <c r="D543" i="1"/>
  <c r="C543" i="1"/>
  <c r="CJ542" i="1"/>
  <c r="CI542" i="1"/>
  <c r="CF542" i="1"/>
  <c r="CE542" i="1"/>
  <c r="CB542" i="1"/>
  <c r="CA542" i="1"/>
  <c r="BX542" i="1"/>
  <c r="BW542" i="1"/>
  <c r="BT542" i="1"/>
  <c r="BS542" i="1"/>
  <c r="BP542" i="1"/>
  <c r="BO542" i="1"/>
  <c r="BL542" i="1"/>
  <c r="BK542" i="1"/>
  <c r="BH542" i="1"/>
  <c r="BG542" i="1"/>
  <c r="BD542" i="1"/>
  <c r="BC542" i="1"/>
  <c r="AZ542" i="1"/>
  <c r="AY542" i="1"/>
  <c r="AV542" i="1"/>
  <c r="AU542" i="1"/>
  <c r="AR542" i="1"/>
  <c r="AQ542" i="1"/>
  <c r="AN542" i="1"/>
  <c r="AM542" i="1"/>
  <c r="AJ542" i="1"/>
  <c r="AI542" i="1"/>
  <c r="AF542" i="1"/>
  <c r="AE542" i="1"/>
  <c r="AB542" i="1"/>
  <c r="AA542" i="1"/>
  <c r="X542" i="1"/>
  <c r="W542" i="1"/>
  <c r="T542" i="1"/>
  <c r="S542" i="1"/>
  <c r="P542" i="1"/>
  <c r="O542" i="1"/>
  <c r="L542" i="1"/>
  <c r="K542" i="1"/>
  <c r="H542" i="1"/>
  <c r="G542" i="1"/>
  <c r="D542" i="1"/>
  <c r="C542" i="1"/>
  <c r="CJ541" i="1"/>
  <c r="CI541" i="1"/>
  <c r="CF541" i="1"/>
  <c r="CE541" i="1"/>
  <c r="CB541" i="1"/>
  <c r="CA541" i="1"/>
  <c r="BX541" i="1"/>
  <c r="BW541" i="1"/>
  <c r="BT541" i="1"/>
  <c r="BS541" i="1"/>
  <c r="BP541" i="1"/>
  <c r="BO541" i="1"/>
  <c r="BL541" i="1"/>
  <c r="BK541" i="1"/>
  <c r="BH541" i="1"/>
  <c r="BG541" i="1"/>
  <c r="BD541" i="1"/>
  <c r="BC541" i="1"/>
  <c r="AZ541" i="1"/>
  <c r="AY541" i="1"/>
  <c r="AV541" i="1"/>
  <c r="AU541" i="1"/>
  <c r="AR541" i="1"/>
  <c r="AQ541" i="1"/>
  <c r="AN541" i="1"/>
  <c r="AM541" i="1"/>
  <c r="AJ541" i="1"/>
  <c r="AI541" i="1"/>
  <c r="AF541" i="1"/>
  <c r="AE541" i="1"/>
  <c r="AB541" i="1"/>
  <c r="AA541" i="1"/>
  <c r="X541" i="1"/>
  <c r="W541" i="1"/>
  <c r="T541" i="1"/>
  <c r="S541" i="1"/>
  <c r="P541" i="1"/>
  <c r="O541" i="1"/>
  <c r="L541" i="1"/>
  <c r="K541" i="1"/>
  <c r="H541" i="1"/>
  <c r="G541" i="1"/>
  <c r="D541" i="1"/>
  <c r="C541" i="1"/>
  <c r="CJ540" i="1"/>
  <c r="CI540" i="1"/>
  <c r="CF540" i="1"/>
  <c r="CE540" i="1"/>
  <c r="CB540" i="1"/>
  <c r="CA540" i="1"/>
  <c r="BX540" i="1"/>
  <c r="BW540" i="1"/>
  <c r="BT540" i="1"/>
  <c r="BS540" i="1"/>
  <c r="BP540" i="1"/>
  <c r="BO540" i="1"/>
  <c r="BL540" i="1"/>
  <c r="BK540" i="1"/>
  <c r="BH540" i="1"/>
  <c r="BG540" i="1"/>
  <c r="BD540" i="1"/>
  <c r="BC540" i="1"/>
  <c r="AZ540" i="1"/>
  <c r="AY540" i="1"/>
  <c r="AV540" i="1"/>
  <c r="AU540" i="1"/>
  <c r="AR540" i="1"/>
  <c r="AQ540" i="1"/>
  <c r="AN540" i="1"/>
  <c r="AM540" i="1"/>
  <c r="AJ540" i="1"/>
  <c r="AI540" i="1"/>
  <c r="AF540" i="1"/>
  <c r="AE540" i="1"/>
  <c r="AB540" i="1"/>
  <c r="AA540" i="1"/>
  <c r="X540" i="1"/>
  <c r="W540" i="1"/>
  <c r="T540" i="1"/>
  <c r="S540" i="1"/>
  <c r="P540" i="1"/>
  <c r="O540" i="1"/>
  <c r="L540" i="1"/>
  <c r="K540" i="1"/>
  <c r="H540" i="1"/>
  <c r="G540" i="1"/>
  <c r="D540" i="1"/>
  <c r="C540" i="1"/>
  <c r="CJ539" i="1"/>
  <c r="CI539" i="1"/>
  <c r="CF539" i="1"/>
  <c r="CE539" i="1"/>
  <c r="CB539" i="1"/>
  <c r="CA539" i="1"/>
  <c r="BX539" i="1"/>
  <c r="BW539" i="1"/>
  <c r="BT539" i="1"/>
  <c r="BS539" i="1"/>
  <c r="BP539" i="1"/>
  <c r="BO539" i="1"/>
  <c r="BL539" i="1"/>
  <c r="BK539" i="1"/>
  <c r="BH539" i="1"/>
  <c r="BG539" i="1"/>
  <c r="BD539" i="1"/>
  <c r="BC539" i="1"/>
  <c r="AZ539" i="1"/>
  <c r="AY539" i="1"/>
  <c r="AV539" i="1"/>
  <c r="AU539" i="1"/>
  <c r="AR539" i="1"/>
  <c r="AQ539" i="1"/>
  <c r="AN539" i="1"/>
  <c r="AM539" i="1"/>
  <c r="AJ539" i="1"/>
  <c r="AI539" i="1"/>
  <c r="AF539" i="1"/>
  <c r="AE539" i="1"/>
  <c r="AB539" i="1"/>
  <c r="AA539" i="1"/>
  <c r="X539" i="1"/>
  <c r="W539" i="1"/>
  <c r="T539" i="1"/>
  <c r="S539" i="1"/>
  <c r="P539" i="1"/>
  <c r="O539" i="1"/>
  <c r="L539" i="1"/>
  <c r="K539" i="1"/>
  <c r="H539" i="1"/>
  <c r="G539" i="1"/>
  <c r="D539" i="1"/>
  <c r="C539" i="1"/>
  <c r="CJ537" i="1"/>
  <c r="CI537" i="1"/>
  <c r="CF537" i="1"/>
  <c r="CE537" i="1"/>
  <c r="CB537" i="1"/>
  <c r="CA537" i="1"/>
  <c r="BX537" i="1"/>
  <c r="BW537" i="1"/>
  <c r="BT537" i="1"/>
  <c r="BS537" i="1"/>
  <c r="BP537" i="1"/>
  <c r="BO537" i="1"/>
  <c r="BL537" i="1"/>
  <c r="BK537" i="1"/>
  <c r="BH537" i="1"/>
  <c r="BG537" i="1"/>
  <c r="BD537" i="1"/>
  <c r="BC537" i="1"/>
  <c r="AZ537" i="1"/>
  <c r="AY537" i="1"/>
  <c r="AV537" i="1"/>
  <c r="AU537" i="1"/>
  <c r="AR537" i="1"/>
  <c r="AQ537" i="1"/>
  <c r="AN537" i="1"/>
  <c r="AM537" i="1"/>
  <c r="AJ537" i="1"/>
  <c r="AI537" i="1"/>
  <c r="AF537" i="1"/>
  <c r="AE537" i="1"/>
  <c r="AB537" i="1"/>
  <c r="AA537" i="1"/>
  <c r="X537" i="1"/>
  <c r="W537" i="1"/>
  <c r="T537" i="1"/>
  <c r="S537" i="1"/>
  <c r="P537" i="1"/>
  <c r="O537" i="1"/>
  <c r="L537" i="1"/>
  <c r="K537" i="1"/>
  <c r="H537" i="1"/>
  <c r="G537" i="1"/>
  <c r="D537" i="1"/>
  <c r="C537" i="1"/>
  <c r="CJ536" i="1"/>
  <c r="CI536" i="1"/>
  <c r="CF536" i="1"/>
  <c r="CE536" i="1"/>
  <c r="CB536" i="1"/>
  <c r="CA536" i="1"/>
  <c r="BX536" i="1"/>
  <c r="BW536" i="1"/>
  <c r="BT536" i="1"/>
  <c r="BS536" i="1"/>
  <c r="BP536" i="1"/>
  <c r="BO536" i="1"/>
  <c r="BL536" i="1"/>
  <c r="BK536" i="1"/>
  <c r="BH536" i="1"/>
  <c r="BG536" i="1"/>
  <c r="BD536" i="1"/>
  <c r="BC536" i="1"/>
  <c r="AZ536" i="1"/>
  <c r="AY536" i="1"/>
  <c r="AV536" i="1"/>
  <c r="AU536" i="1"/>
  <c r="AR536" i="1"/>
  <c r="AQ536" i="1"/>
  <c r="AN536" i="1"/>
  <c r="AM536" i="1"/>
  <c r="AJ536" i="1"/>
  <c r="AI536" i="1"/>
  <c r="AF536" i="1"/>
  <c r="AE536" i="1"/>
  <c r="AB536" i="1"/>
  <c r="AA536" i="1"/>
  <c r="X536" i="1"/>
  <c r="W536" i="1"/>
  <c r="T536" i="1"/>
  <c r="S536" i="1"/>
  <c r="P536" i="1"/>
  <c r="O536" i="1"/>
  <c r="L536" i="1"/>
  <c r="K536" i="1"/>
  <c r="H536" i="1"/>
  <c r="G536" i="1"/>
  <c r="D536" i="1"/>
  <c r="C536" i="1"/>
  <c r="CJ535" i="1"/>
  <c r="CI535" i="1"/>
  <c r="CF535" i="1"/>
  <c r="CE535" i="1"/>
  <c r="CB535" i="1"/>
  <c r="CA535" i="1"/>
  <c r="BX535" i="1"/>
  <c r="BW535" i="1"/>
  <c r="BT535" i="1"/>
  <c r="BS535" i="1"/>
  <c r="BP535" i="1"/>
  <c r="BO535" i="1"/>
  <c r="BL535" i="1"/>
  <c r="BK535" i="1"/>
  <c r="BH535" i="1"/>
  <c r="BG535" i="1"/>
  <c r="BD535" i="1"/>
  <c r="BC535" i="1"/>
  <c r="AZ535" i="1"/>
  <c r="AY535" i="1"/>
  <c r="AV535" i="1"/>
  <c r="AU535" i="1"/>
  <c r="AR535" i="1"/>
  <c r="AQ535" i="1"/>
  <c r="AN535" i="1"/>
  <c r="AM535" i="1"/>
  <c r="AJ535" i="1"/>
  <c r="AI535" i="1"/>
  <c r="AF535" i="1"/>
  <c r="AE535" i="1"/>
  <c r="AB535" i="1"/>
  <c r="AA535" i="1"/>
  <c r="X535" i="1"/>
  <c r="W535" i="1"/>
  <c r="T535" i="1"/>
  <c r="S535" i="1"/>
  <c r="P535" i="1"/>
  <c r="O535" i="1"/>
  <c r="L535" i="1"/>
  <c r="K535" i="1"/>
  <c r="H535" i="1"/>
  <c r="G535" i="1"/>
  <c r="D535" i="1"/>
  <c r="C535" i="1"/>
  <c r="CJ534" i="1"/>
  <c r="CI534" i="1"/>
  <c r="CF534" i="1"/>
  <c r="CE534" i="1"/>
  <c r="CB534" i="1"/>
  <c r="CA534" i="1"/>
  <c r="BX534" i="1"/>
  <c r="BW534" i="1"/>
  <c r="BT534" i="1"/>
  <c r="BS534" i="1"/>
  <c r="BP534" i="1"/>
  <c r="BO534" i="1"/>
  <c r="BL534" i="1"/>
  <c r="BK534" i="1"/>
  <c r="BH534" i="1"/>
  <c r="BG534" i="1"/>
  <c r="BD534" i="1"/>
  <c r="BC534" i="1"/>
  <c r="AZ534" i="1"/>
  <c r="AY534" i="1"/>
  <c r="AV534" i="1"/>
  <c r="AU534" i="1"/>
  <c r="AR534" i="1"/>
  <c r="AQ534" i="1"/>
  <c r="AN534" i="1"/>
  <c r="AM534" i="1"/>
  <c r="AJ534" i="1"/>
  <c r="AI534" i="1"/>
  <c r="AF534" i="1"/>
  <c r="AE534" i="1"/>
  <c r="AB534" i="1"/>
  <c r="AA534" i="1"/>
  <c r="X534" i="1"/>
  <c r="W534" i="1"/>
  <c r="T534" i="1"/>
  <c r="S534" i="1"/>
  <c r="P534" i="1"/>
  <c r="O534" i="1"/>
  <c r="L534" i="1"/>
  <c r="K534" i="1"/>
  <c r="H534" i="1"/>
  <c r="G534" i="1"/>
  <c r="D534" i="1"/>
  <c r="C534" i="1"/>
  <c r="CJ533" i="1"/>
  <c r="CI533" i="1"/>
  <c r="CF533" i="1"/>
  <c r="CE533" i="1"/>
  <c r="CB533" i="1"/>
  <c r="CA533" i="1"/>
  <c r="BX533" i="1"/>
  <c r="BW533" i="1"/>
  <c r="BT533" i="1"/>
  <c r="BS533" i="1"/>
  <c r="BP533" i="1"/>
  <c r="BO533" i="1"/>
  <c r="BL533" i="1"/>
  <c r="BK533" i="1"/>
  <c r="BH533" i="1"/>
  <c r="BG533" i="1"/>
  <c r="BD533" i="1"/>
  <c r="BC533" i="1"/>
  <c r="AZ533" i="1"/>
  <c r="AY533" i="1"/>
  <c r="AV533" i="1"/>
  <c r="AU533" i="1"/>
  <c r="AR533" i="1"/>
  <c r="AQ533" i="1"/>
  <c r="AN533" i="1"/>
  <c r="AM533" i="1"/>
  <c r="AJ533" i="1"/>
  <c r="AI533" i="1"/>
  <c r="AF533" i="1"/>
  <c r="AE533" i="1"/>
  <c r="AB533" i="1"/>
  <c r="AA533" i="1"/>
  <c r="X533" i="1"/>
  <c r="W533" i="1"/>
  <c r="T533" i="1"/>
  <c r="S533" i="1"/>
  <c r="P533" i="1"/>
  <c r="O533" i="1"/>
  <c r="L533" i="1"/>
  <c r="K533" i="1"/>
  <c r="H533" i="1"/>
  <c r="G533" i="1"/>
  <c r="D533" i="1"/>
  <c r="C533" i="1"/>
  <c r="CJ532" i="1"/>
  <c r="CI532" i="1"/>
  <c r="CF532" i="1"/>
  <c r="CE532" i="1"/>
  <c r="CB532" i="1"/>
  <c r="CA532" i="1"/>
  <c r="BX532" i="1"/>
  <c r="BW532" i="1"/>
  <c r="BT532" i="1"/>
  <c r="BS532" i="1"/>
  <c r="BP532" i="1"/>
  <c r="BO532" i="1"/>
  <c r="BL532" i="1"/>
  <c r="BK532" i="1"/>
  <c r="BH532" i="1"/>
  <c r="BG532" i="1"/>
  <c r="BD532" i="1"/>
  <c r="BC532" i="1"/>
  <c r="AZ532" i="1"/>
  <c r="AY532" i="1"/>
  <c r="AV532" i="1"/>
  <c r="AU532" i="1"/>
  <c r="AR532" i="1"/>
  <c r="AQ532" i="1"/>
  <c r="AN532" i="1"/>
  <c r="AM532" i="1"/>
  <c r="AJ532" i="1"/>
  <c r="AI532" i="1"/>
  <c r="AF532" i="1"/>
  <c r="AE532" i="1"/>
  <c r="AB532" i="1"/>
  <c r="AA532" i="1"/>
  <c r="X532" i="1"/>
  <c r="W532" i="1"/>
  <c r="T532" i="1"/>
  <c r="S532" i="1"/>
  <c r="P532" i="1"/>
  <c r="O532" i="1"/>
  <c r="L532" i="1"/>
  <c r="K532" i="1"/>
  <c r="H532" i="1"/>
  <c r="G532" i="1"/>
  <c r="D532" i="1"/>
  <c r="C532" i="1"/>
  <c r="CJ530" i="1"/>
  <c r="CI530" i="1"/>
  <c r="CF530" i="1"/>
  <c r="CE530" i="1"/>
  <c r="CB530" i="1"/>
  <c r="CA530" i="1"/>
  <c r="BX530" i="1"/>
  <c r="BW530" i="1"/>
  <c r="BT530" i="1"/>
  <c r="BS530" i="1"/>
  <c r="BP530" i="1"/>
  <c r="BO530" i="1"/>
  <c r="BL530" i="1"/>
  <c r="BK530" i="1"/>
  <c r="BH530" i="1"/>
  <c r="BG530" i="1"/>
  <c r="BD530" i="1"/>
  <c r="BC530" i="1"/>
  <c r="AZ530" i="1"/>
  <c r="AY530" i="1"/>
  <c r="AV530" i="1"/>
  <c r="AU530" i="1"/>
  <c r="AR530" i="1"/>
  <c r="AQ530" i="1"/>
  <c r="AN530" i="1"/>
  <c r="AM530" i="1"/>
  <c r="AJ530" i="1"/>
  <c r="AI530" i="1"/>
  <c r="AF530" i="1"/>
  <c r="AE530" i="1"/>
  <c r="AB530" i="1"/>
  <c r="AA530" i="1"/>
  <c r="X530" i="1"/>
  <c r="W530" i="1"/>
  <c r="T530" i="1"/>
  <c r="S530" i="1"/>
  <c r="P530" i="1"/>
  <c r="O530" i="1"/>
  <c r="L530" i="1"/>
  <c r="K530" i="1"/>
  <c r="H530" i="1"/>
  <c r="G530" i="1"/>
  <c r="D530" i="1"/>
  <c r="C530" i="1"/>
  <c r="CJ529" i="1"/>
  <c r="CI529" i="1"/>
  <c r="CF529" i="1"/>
  <c r="CE529" i="1"/>
  <c r="CB529" i="1"/>
  <c r="CA529" i="1"/>
  <c r="BX529" i="1"/>
  <c r="BW529" i="1"/>
  <c r="BT529" i="1"/>
  <c r="BS529" i="1"/>
  <c r="BP529" i="1"/>
  <c r="BO529" i="1"/>
  <c r="BL529" i="1"/>
  <c r="BK529" i="1"/>
  <c r="BH529" i="1"/>
  <c r="BG529" i="1"/>
  <c r="BD529" i="1"/>
  <c r="BC529" i="1"/>
  <c r="AZ529" i="1"/>
  <c r="AY529" i="1"/>
  <c r="AV529" i="1"/>
  <c r="AU529" i="1"/>
  <c r="AR529" i="1"/>
  <c r="AQ529" i="1"/>
  <c r="AN529" i="1"/>
  <c r="AM529" i="1"/>
  <c r="AJ529" i="1"/>
  <c r="AI529" i="1"/>
  <c r="AF529" i="1"/>
  <c r="AE529" i="1"/>
  <c r="AB529" i="1"/>
  <c r="AA529" i="1"/>
  <c r="X529" i="1"/>
  <c r="W529" i="1"/>
  <c r="T529" i="1"/>
  <c r="S529" i="1"/>
  <c r="P529" i="1"/>
  <c r="O529" i="1"/>
  <c r="L529" i="1"/>
  <c r="K529" i="1"/>
  <c r="H529" i="1"/>
  <c r="G529" i="1"/>
  <c r="D529" i="1"/>
  <c r="C529" i="1"/>
  <c r="CJ528" i="1"/>
  <c r="CI528" i="1"/>
  <c r="CF528" i="1"/>
  <c r="CE528" i="1"/>
  <c r="CB528" i="1"/>
  <c r="CA528" i="1"/>
  <c r="BX528" i="1"/>
  <c r="BW528" i="1"/>
  <c r="BT528" i="1"/>
  <c r="BS528" i="1"/>
  <c r="BP528" i="1"/>
  <c r="BO528" i="1"/>
  <c r="BL528" i="1"/>
  <c r="BK528" i="1"/>
  <c r="BH528" i="1"/>
  <c r="BG528" i="1"/>
  <c r="BD528" i="1"/>
  <c r="BC528" i="1"/>
  <c r="AZ528" i="1"/>
  <c r="AY528" i="1"/>
  <c r="AV528" i="1"/>
  <c r="AU528" i="1"/>
  <c r="AR528" i="1"/>
  <c r="AQ528" i="1"/>
  <c r="AN528" i="1"/>
  <c r="AM528" i="1"/>
  <c r="AJ528" i="1"/>
  <c r="AI528" i="1"/>
  <c r="AF528" i="1"/>
  <c r="AE528" i="1"/>
  <c r="AB528" i="1"/>
  <c r="AA528" i="1"/>
  <c r="X528" i="1"/>
  <c r="W528" i="1"/>
  <c r="T528" i="1"/>
  <c r="S528" i="1"/>
  <c r="P528" i="1"/>
  <c r="O528" i="1"/>
  <c r="L528" i="1"/>
  <c r="K528" i="1"/>
  <c r="H528" i="1"/>
  <c r="G528" i="1"/>
  <c r="D528" i="1"/>
  <c r="C528" i="1"/>
  <c r="CJ527" i="1"/>
  <c r="CI527" i="1"/>
  <c r="CF527" i="1"/>
  <c r="CE527" i="1"/>
  <c r="CB527" i="1"/>
  <c r="CA527" i="1"/>
  <c r="BX527" i="1"/>
  <c r="BW527" i="1"/>
  <c r="BT527" i="1"/>
  <c r="BS527" i="1"/>
  <c r="BP527" i="1"/>
  <c r="BO527" i="1"/>
  <c r="BL527" i="1"/>
  <c r="BK527" i="1"/>
  <c r="BH527" i="1"/>
  <c r="BG527" i="1"/>
  <c r="BD527" i="1"/>
  <c r="BC527" i="1"/>
  <c r="AZ527" i="1"/>
  <c r="AY527" i="1"/>
  <c r="AV527" i="1"/>
  <c r="AU527" i="1"/>
  <c r="AR527" i="1"/>
  <c r="AQ527" i="1"/>
  <c r="AN527" i="1"/>
  <c r="AM527" i="1"/>
  <c r="AJ527" i="1"/>
  <c r="AI527" i="1"/>
  <c r="AF527" i="1"/>
  <c r="AE527" i="1"/>
  <c r="AB527" i="1"/>
  <c r="AA527" i="1"/>
  <c r="X527" i="1"/>
  <c r="W527" i="1"/>
  <c r="T527" i="1"/>
  <c r="S527" i="1"/>
  <c r="P527" i="1"/>
  <c r="O527" i="1"/>
  <c r="L527" i="1"/>
  <c r="K527" i="1"/>
  <c r="H527" i="1"/>
  <c r="G527" i="1"/>
  <c r="D527" i="1"/>
  <c r="C527" i="1"/>
  <c r="CJ526" i="1"/>
  <c r="CI526" i="1"/>
  <c r="CF526" i="1"/>
  <c r="CE526" i="1"/>
  <c r="CB526" i="1"/>
  <c r="CA526" i="1"/>
  <c r="BX526" i="1"/>
  <c r="BW526" i="1"/>
  <c r="BT526" i="1"/>
  <c r="BS526" i="1"/>
  <c r="BP526" i="1"/>
  <c r="BO526" i="1"/>
  <c r="BL526" i="1"/>
  <c r="BK526" i="1"/>
  <c r="BH526" i="1"/>
  <c r="BG526" i="1"/>
  <c r="BD526" i="1"/>
  <c r="BC526" i="1"/>
  <c r="AZ526" i="1"/>
  <c r="AY526" i="1"/>
  <c r="AV526" i="1"/>
  <c r="AU526" i="1"/>
  <c r="AR526" i="1"/>
  <c r="AQ526" i="1"/>
  <c r="AN526" i="1"/>
  <c r="AM526" i="1"/>
  <c r="AJ526" i="1"/>
  <c r="AI526" i="1"/>
  <c r="AF526" i="1"/>
  <c r="AE526" i="1"/>
  <c r="AB526" i="1"/>
  <c r="AA526" i="1"/>
  <c r="X526" i="1"/>
  <c r="W526" i="1"/>
  <c r="T526" i="1"/>
  <c r="S526" i="1"/>
  <c r="P526" i="1"/>
  <c r="O526" i="1"/>
  <c r="L526" i="1"/>
  <c r="K526" i="1"/>
  <c r="H526" i="1"/>
  <c r="G526" i="1"/>
  <c r="D526" i="1"/>
  <c r="C526" i="1"/>
  <c r="CJ525" i="1"/>
  <c r="CI525" i="1"/>
  <c r="CF525" i="1"/>
  <c r="CE525" i="1"/>
  <c r="CB525" i="1"/>
  <c r="CA525" i="1"/>
  <c r="BX525" i="1"/>
  <c r="BW525" i="1"/>
  <c r="BT525" i="1"/>
  <c r="BS525" i="1"/>
  <c r="BP525" i="1"/>
  <c r="BO525" i="1"/>
  <c r="BL525" i="1"/>
  <c r="BK525" i="1"/>
  <c r="BH525" i="1"/>
  <c r="BG525" i="1"/>
  <c r="BD525" i="1"/>
  <c r="BC525" i="1"/>
  <c r="AZ525" i="1"/>
  <c r="AY525" i="1"/>
  <c r="AV525" i="1"/>
  <c r="AU525" i="1"/>
  <c r="AR525" i="1"/>
  <c r="AQ525" i="1"/>
  <c r="AN525" i="1"/>
  <c r="AM525" i="1"/>
  <c r="AJ525" i="1"/>
  <c r="AI525" i="1"/>
  <c r="AF525" i="1"/>
  <c r="AE525" i="1"/>
  <c r="AB525" i="1"/>
  <c r="AA525" i="1"/>
  <c r="X525" i="1"/>
  <c r="W525" i="1"/>
  <c r="T525" i="1"/>
  <c r="S525" i="1"/>
  <c r="P525" i="1"/>
  <c r="O525" i="1"/>
  <c r="L525" i="1"/>
  <c r="K525" i="1"/>
  <c r="H525" i="1"/>
  <c r="G525" i="1"/>
  <c r="D525" i="1"/>
  <c r="C525" i="1"/>
  <c r="CJ523" i="1"/>
  <c r="CI523" i="1"/>
  <c r="CF523" i="1"/>
  <c r="CE523" i="1"/>
  <c r="CB523" i="1"/>
  <c r="CA523" i="1"/>
  <c r="BX523" i="1"/>
  <c r="BW523" i="1"/>
  <c r="BT523" i="1"/>
  <c r="BS523" i="1"/>
  <c r="BP523" i="1"/>
  <c r="BO523" i="1"/>
  <c r="BL523" i="1"/>
  <c r="BK523" i="1"/>
  <c r="BH523" i="1"/>
  <c r="BG523" i="1"/>
  <c r="BD523" i="1"/>
  <c r="BC523" i="1"/>
  <c r="AZ523" i="1"/>
  <c r="AY523" i="1"/>
  <c r="AV523" i="1"/>
  <c r="AU523" i="1"/>
  <c r="AR523" i="1"/>
  <c r="AQ523" i="1"/>
  <c r="AN523" i="1"/>
  <c r="AM523" i="1"/>
  <c r="AJ523" i="1"/>
  <c r="AI523" i="1"/>
  <c r="AF523" i="1"/>
  <c r="AE523" i="1"/>
  <c r="AB523" i="1"/>
  <c r="AA523" i="1"/>
  <c r="X523" i="1"/>
  <c r="W523" i="1"/>
  <c r="T523" i="1"/>
  <c r="S523" i="1"/>
  <c r="P523" i="1"/>
  <c r="O523" i="1"/>
  <c r="L523" i="1"/>
  <c r="K523" i="1"/>
  <c r="H523" i="1"/>
  <c r="G523" i="1"/>
  <c r="D523" i="1"/>
  <c r="C523" i="1"/>
  <c r="CJ522" i="1"/>
  <c r="CI522" i="1"/>
  <c r="CF522" i="1"/>
  <c r="CE522" i="1"/>
  <c r="CB522" i="1"/>
  <c r="CA522" i="1"/>
  <c r="BX522" i="1"/>
  <c r="BW522" i="1"/>
  <c r="BT522" i="1"/>
  <c r="BS522" i="1"/>
  <c r="BP522" i="1"/>
  <c r="BO522" i="1"/>
  <c r="BL522" i="1"/>
  <c r="BK522" i="1"/>
  <c r="BH522" i="1"/>
  <c r="BG522" i="1"/>
  <c r="BD522" i="1"/>
  <c r="BC522" i="1"/>
  <c r="AZ522" i="1"/>
  <c r="AY522" i="1"/>
  <c r="AV522" i="1"/>
  <c r="AU522" i="1"/>
  <c r="AR522" i="1"/>
  <c r="AQ522" i="1"/>
  <c r="AN522" i="1"/>
  <c r="AM522" i="1"/>
  <c r="AJ522" i="1"/>
  <c r="AI522" i="1"/>
  <c r="AF522" i="1"/>
  <c r="AE522" i="1"/>
  <c r="AB522" i="1"/>
  <c r="AA522" i="1"/>
  <c r="X522" i="1"/>
  <c r="W522" i="1"/>
  <c r="T522" i="1"/>
  <c r="S522" i="1"/>
  <c r="P522" i="1"/>
  <c r="O522" i="1"/>
  <c r="L522" i="1"/>
  <c r="K522" i="1"/>
  <c r="H522" i="1"/>
  <c r="G522" i="1"/>
  <c r="D522" i="1"/>
  <c r="C522" i="1"/>
  <c r="CJ521" i="1"/>
  <c r="CI521" i="1"/>
  <c r="CF521" i="1"/>
  <c r="CE521" i="1"/>
  <c r="CB521" i="1"/>
  <c r="CA521" i="1"/>
  <c r="BX521" i="1"/>
  <c r="BW521" i="1"/>
  <c r="BT521" i="1"/>
  <c r="BS521" i="1"/>
  <c r="BP521" i="1"/>
  <c r="BO521" i="1"/>
  <c r="BL521" i="1"/>
  <c r="BK521" i="1"/>
  <c r="BH521" i="1"/>
  <c r="BG521" i="1"/>
  <c r="BD521" i="1"/>
  <c r="BC521" i="1"/>
  <c r="AZ521" i="1"/>
  <c r="AY521" i="1"/>
  <c r="AV521" i="1"/>
  <c r="AU521" i="1"/>
  <c r="AR521" i="1"/>
  <c r="AQ521" i="1"/>
  <c r="AN521" i="1"/>
  <c r="AM521" i="1"/>
  <c r="AJ521" i="1"/>
  <c r="AI521" i="1"/>
  <c r="AF521" i="1"/>
  <c r="AE521" i="1"/>
  <c r="AB521" i="1"/>
  <c r="AA521" i="1"/>
  <c r="X521" i="1"/>
  <c r="W521" i="1"/>
  <c r="T521" i="1"/>
  <c r="S521" i="1"/>
  <c r="P521" i="1"/>
  <c r="O521" i="1"/>
  <c r="L521" i="1"/>
  <c r="K521" i="1"/>
  <c r="H521" i="1"/>
  <c r="G521" i="1"/>
  <c r="D521" i="1"/>
  <c r="C521" i="1"/>
  <c r="CJ520" i="1"/>
  <c r="CI520" i="1"/>
  <c r="CF520" i="1"/>
  <c r="CE520" i="1"/>
  <c r="CB520" i="1"/>
  <c r="CA520" i="1"/>
  <c r="BX520" i="1"/>
  <c r="BW520" i="1"/>
  <c r="BT520" i="1"/>
  <c r="BS520" i="1"/>
  <c r="BP520" i="1"/>
  <c r="BO520" i="1"/>
  <c r="BL520" i="1"/>
  <c r="BK520" i="1"/>
  <c r="BH520" i="1"/>
  <c r="BG520" i="1"/>
  <c r="BD520" i="1"/>
  <c r="BC520" i="1"/>
  <c r="AZ520" i="1"/>
  <c r="AY520" i="1"/>
  <c r="AV520" i="1"/>
  <c r="AU520" i="1"/>
  <c r="AR520" i="1"/>
  <c r="AQ520" i="1"/>
  <c r="AN520" i="1"/>
  <c r="AM520" i="1"/>
  <c r="AJ520" i="1"/>
  <c r="AI520" i="1"/>
  <c r="AF520" i="1"/>
  <c r="AE520" i="1"/>
  <c r="AB520" i="1"/>
  <c r="AA520" i="1"/>
  <c r="X520" i="1"/>
  <c r="W520" i="1"/>
  <c r="T520" i="1"/>
  <c r="S520" i="1"/>
  <c r="P520" i="1"/>
  <c r="O520" i="1"/>
  <c r="L520" i="1"/>
  <c r="K520" i="1"/>
  <c r="H520" i="1"/>
  <c r="G520" i="1"/>
  <c r="D520" i="1"/>
  <c r="C520" i="1"/>
  <c r="CJ519" i="1"/>
  <c r="CI519" i="1"/>
  <c r="CF519" i="1"/>
  <c r="CE519" i="1"/>
  <c r="CB519" i="1"/>
  <c r="CA519" i="1"/>
  <c r="BX519" i="1"/>
  <c r="BW519" i="1"/>
  <c r="BT519" i="1"/>
  <c r="BS519" i="1"/>
  <c r="BP519" i="1"/>
  <c r="BO519" i="1"/>
  <c r="BL519" i="1"/>
  <c r="BK519" i="1"/>
  <c r="BH519" i="1"/>
  <c r="BG519" i="1"/>
  <c r="BD519" i="1"/>
  <c r="BC519" i="1"/>
  <c r="AZ519" i="1"/>
  <c r="AY519" i="1"/>
  <c r="AV519" i="1"/>
  <c r="AU519" i="1"/>
  <c r="AR519" i="1"/>
  <c r="AQ519" i="1"/>
  <c r="AN519" i="1"/>
  <c r="AM519" i="1"/>
  <c r="AJ519" i="1"/>
  <c r="AI519" i="1"/>
  <c r="AF519" i="1"/>
  <c r="AE519" i="1"/>
  <c r="AB519" i="1"/>
  <c r="AA519" i="1"/>
  <c r="X519" i="1"/>
  <c r="W519" i="1"/>
  <c r="T519" i="1"/>
  <c r="S519" i="1"/>
  <c r="P519" i="1"/>
  <c r="O519" i="1"/>
  <c r="L519" i="1"/>
  <c r="K519" i="1"/>
  <c r="H519" i="1"/>
  <c r="G519" i="1"/>
  <c r="D519" i="1"/>
  <c r="C519" i="1"/>
  <c r="CJ518" i="1"/>
  <c r="CI518" i="1"/>
  <c r="CF518" i="1"/>
  <c r="CE518" i="1"/>
  <c r="CB518" i="1"/>
  <c r="CA518" i="1"/>
  <c r="BX518" i="1"/>
  <c r="BW518" i="1"/>
  <c r="BT518" i="1"/>
  <c r="BS518" i="1"/>
  <c r="BP518" i="1"/>
  <c r="BO518" i="1"/>
  <c r="BL518" i="1"/>
  <c r="BK518" i="1"/>
  <c r="BH518" i="1"/>
  <c r="BG518" i="1"/>
  <c r="BD518" i="1"/>
  <c r="BC518" i="1"/>
  <c r="AZ518" i="1"/>
  <c r="AY518" i="1"/>
  <c r="AV518" i="1"/>
  <c r="AU518" i="1"/>
  <c r="AR518" i="1"/>
  <c r="AQ518" i="1"/>
  <c r="AN518" i="1"/>
  <c r="AM518" i="1"/>
  <c r="AJ518" i="1"/>
  <c r="AI518" i="1"/>
  <c r="AF518" i="1"/>
  <c r="AE518" i="1"/>
  <c r="AB518" i="1"/>
  <c r="AA518" i="1"/>
  <c r="X518" i="1"/>
  <c r="W518" i="1"/>
  <c r="T518" i="1"/>
  <c r="S518" i="1"/>
  <c r="P518" i="1"/>
  <c r="O518" i="1"/>
  <c r="L518" i="1"/>
  <c r="K518" i="1"/>
  <c r="H518" i="1"/>
  <c r="G518" i="1"/>
  <c r="D518" i="1"/>
  <c r="C518" i="1"/>
  <c r="CJ516" i="1"/>
  <c r="CI516" i="1"/>
  <c r="CF516" i="1"/>
  <c r="CE516" i="1"/>
  <c r="CB516" i="1"/>
  <c r="CA516" i="1"/>
  <c r="BX516" i="1"/>
  <c r="BW516" i="1"/>
  <c r="BT516" i="1"/>
  <c r="BS516" i="1"/>
  <c r="BP516" i="1"/>
  <c r="BO516" i="1"/>
  <c r="BL516" i="1"/>
  <c r="BK516" i="1"/>
  <c r="BH516" i="1"/>
  <c r="BG516" i="1"/>
  <c r="BD516" i="1"/>
  <c r="BC516" i="1"/>
  <c r="AZ516" i="1"/>
  <c r="AY516" i="1"/>
  <c r="AV516" i="1"/>
  <c r="AU516" i="1"/>
  <c r="AR516" i="1"/>
  <c r="AQ516" i="1"/>
  <c r="AN516" i="1"/>
  <c r="AM516" i="1"/>
  <c r="AJ516" i="1"/>
  <c r="AI516" i="1"/>
  <c r="AF516" i="1"/>
  <c r="AE516" i="1"/>
  <c r="AB516" i="1"/>
  <c r="AA516" i="1"/>
  <c r="X516" i="1"/>
  <c r="W516" i="1"/>
  <c r="T516" i="1"/>
  <c r="S516" i="1"/>
  <c r="P516" i="1"/>
  <c r="O516" i="1"/>
  <c r="L516" i="1"/>
  <c r="K516" i="1"/>
  <c r="H516" i="1"/>
  <c r="G516" i="1"/>
  <c r="D516" i="1"/>
  <c r="C516" i="1"/>
  <c r="CJ515" i="1"/>
  <c r="CI515" i="1"/>
  <c r="CF515" i="1"/>
  <c r="CE515" i="1"/>
  <c r="CB515" i="1"/>
  <c r="CA515" i="1"/>
  <c r="BX515" i="1"/>
  <c r="BW515" i="1"/>
  <c r="BT515" i="1"/>
  <c r="BS515" i="1"/>
  <c r="BP515" i="1"/>
  <c r="BO515" i="1"/>
  <c r="BL515" i="1"/>
  <c r="BK515" i="1"/>
  <c r="BH515" i="1"/>
  <c r="BG515" i="1"/>
  <c r="BD515" i="1"/>
  <c r="BC515" i="1"/>
  <c r="AZ515" i="1"/>
  <c r="AY515" i="1"/>
  <c r="AV515" i="1"/>
  <c r="AU515" i="1"/>
  <c r="AR515" i="1"/>
  <c r="AQ515" i="1"/>
  <c r="AN515" i="1"/>
  <c r="AM515" i="1"/>
  <c r="AJ515" i="1"/>
  <c r="AI515" i="1"/>
  <c r="AF515" i="1"/>
  <c r="AE515" i="1"/>
  <c r="AB515" i="1"/>
  <c r="AA515" i="1"/>
  <c r="X515" i="1"/>
  <c r="W515" i="1"/>
  <c r="T515" i="1"/>
  <c r="S515" i="1"/>
  <c r="P515" i="1"/>
  <c r="O515" i="1"/>
  <c r="L515" i="1"/>
  <c r="K515" i="1"/>
  <c r="H515" i="1"/>
  <c r="G515" i="1"/>
  <c r="D515" i="1"/>
  <c r="C515" i="1"/>
  <c r="CJ514" i="1"/>
  <c r="CI514" i="1"/>
  <c r="CF514" i="1"/>
  <c r="CE514" i="1"/>
  <c r="CB514" i="1"/>
  <c r="CA514" i="1"/>
  <c r="BX514" i="1"/>
  <c r="BW514" i="1"/>
  <c r="BT514" i="1"/>
  <c r="BS514" i="1"/>
  <c r="BP514" i="1"/>
  <c r="BO514" i="1"/>
  <c r="BL514" i="1"/>
  <c r="BK514" i="1"/>
  <c r="BH514" i="1"/>
  <c r="BG514" i="1"/>
  <c r="BD514" i="1"/>
  <c r="BC514" i="1"/>
  <c r="AZ514" i="1"/>
  <c r="AY514" i="1"/>
  <c r="AV514" i="1"/>
  <c r="AU514" i="1"/>
  <c r="AR514" i="1"/>
  <c r="AQ514" i="1"/>
  <c r="AN514" i="1"/>
  <c r="AM514" i="1"/>
  <c r="AJ514" i="1"/>
  <c r="AI514" i="1"/>
  <c r="AF514" i="1"/>
  <c r="AE514" i="1"/>
  <c r="AB514" i="1"/>
  <c r="AA514" i="1"/>
  <c r="X514" i="1"/>
  <c r="W514" i="1"/>
  <c r="T514" i="1"/>
  <c r="S514" i="1"/>
  <c r="P514" i="1"/>
  <c r="O514" i="1"/>
  <c r="L514" i="1"/>
  <c r="K514" i="1"/>
  <c r="H514" i="1"/>
  <c r="G514" i="1"/>
  <c r="D514" i="1"/>
  <c r="C514" i="1"/>
  <c r="CJ513" i="1"/>
  <c r="CI513" i="1"/>
  <c r="CF513" i="1"/>
  <c r="CE513" i="1"/>
  <c r="CB513" i="1"/>
  <c r="CA513" i="1"/>
  <c r="BX513" i="1"/>
  <c r="BW513" i="1"/>
  <c r="BT513" i="1"/>
  <c r="BS513" i="1"/>
  <c r="BP513" i="1"/>
  <c r="BO513" i="1"/>
  <c r="BL513" i="1"/>
  <c r="BK513" i="1"/>
  <c r="BH513" i="1"/>
  <c r="BG513" i="1"/>
  <c r="BD513" i="1"/>
  <c r="BC513" i="1"/>
  <c r="AZ513" i="1"/>
  <c r="AY513" i="1"/>
  <c r="AV513" i="1"/>
  <c r="AU513" i="1"/>
  <c r="AR513" i="1"/>
  <c r="AQ513" i="1"/>
  <c r="AN513" i="1"/>
  <c r="AM513" i="1"/>
  <c r="AJ513" i="1"/>
  <c r="AI513" i="1"/>
  <c r="AF513" i="1"/>
  <c r="AE513" i="1"/>
  <c r="AB513" i="1"/>
  <c r="AA513" i="1"/>
  <c r="X513" i="1"/>
  <c r="W513" i="1"/>
  <c r="T513" i="1"/>
  <c r="S513" i="1"/>
  <c r="P513" i="1"/>
  <c r="O513" i="1"/>
  <c r="L513" i="1"/>
  <c r="K513" i="1"/>
  <c r="H513" i="1"/>
  <c r="G513" i="1"/>
  <c r="D513" i="1"/>
  <c r="C513" i="1"/>
  <c r="CJ512" i="1"/>
  <c r="CI512" i="1"/>
  <c r="CF512" i="1"/>
  <c r="CE512" i="1"/>
  <c r="CB512" i="1"/>
  <c r="CA512" i="1"/>
  <c r="BX512" i="1"/>
  <c r="BW512" i="1"/>
  <c r="BT512" i="1"/>
  <c r="BS512" i="1"/>
  <c r="BP512" i="1"/>
  <c r="BO512" i="1"/>
  <c r="BL512" i="1"/>
  <c r="BK512" i="1"/>
  <c r="BH512" i="1"/>
  <c r="BG512" i="1"/>
  <c r="BD512" i="1"/>
  <c r="BC512" i="1"/>
  <c r="AZ512" i="1"/>
  <c r="AY512" i="1"/>
  <c r="AV512" i="1"/>
  <c r="AU512" i="1"/>
  <c r="AR512" i="1"/>
  <c r="AQ512" i="1"/>
  <c r="AN512" i="1"/>
  <c r="AM512" i="1"/>
  <c r="AJ512" i="1"/>
  <c r="AI512" i="1"/>
  <c r="AF512" i="1"/>
  <c r="AE512" i="1"/>
  <c r="AB512" i="1"/>
  <c r="AA512" i="1"/>
  <c r="X512" i="1"/>
  <c r="W512" i="1"/>
  <c r="T512" i="1"/>
  <c r="S512" i="1"/>
  <c r="P512" i="1"/>
  <c r="O512" i="1"/>
  <c r="L512" i="1"/>
  <c r="K512" i="1"/>
  <c r="H512" i="1"/>
  <c r="G512" i="1"/>
  <c r="D512" i="1"/>
  <c r="C512" i="1"/>
  <c r="CJ511" i="1"/>
  <c r="CI511" i="1"/>
  <c r="CF511" i="1"/>
  <c r="CE511" i="1"/>
  <c r="CB511" i="1"/>
  <c r="CA511" i="1"/>
  <c r="BX511" i="1"/>
  <c r="BW511" i="1"/>
  <c r="BT511" i="1"/>
  <c r="BS511" i="1"/>
  <c r="BP511" i="1"/>
  <c r="BO511" i="1"/>
  <c r="BL511" i="1"/>
  <c r="BK511" i="1"/>
  <c r="BH511" i="1"/>
  <c r="BG511" i="1"/>
  <c r="BD511" i="1"/>
  <c r="BC511" i="1"/>
  <c r="AZ511" i="1"/>
  <c r="AY511" i="1"/>
  <c r="AV511" i="1"/>
  <c r="AU511" i="1"/>
  <c r="AR511" i="1"/>
  <c r="AQ511" i="1"/>
  <c r="AN511" i="1"/>
  <c r="AM511" i="1"/>
  <c r="AJ511" i="1"/>
  <c r="AI511" i="1"/>
  <c r="AF511" i="1"/>
  <c r="AE511" i="1"/>
  <c r="AB511" i="1"/>
  <c r="AA511" i="1"/>
  <c r="X511" i="1"/>
  <c r="W511" i="1"/>
  <c r="T511" i="1"/>
  <c r="S511" i="1"/>
  <c r="P511" i="1"/>
  <c r="O511" i="1"/>
  <c r="L511" i="1"/>
  <c r="K511" i="1"/>
  <c r="H511" i="1"/>
  <c r="G511" i="1"/>
  <c r="D511" i="1"/>
  <c r="C511" i="1"/>
  <c r="CJ509" i="1"/>
  <c r="CI509" i="1"/>
  <c r="CF509" i="1"/>
  <c r="CE509" i="1"/>
  <c r="CB509" i="1"/>
  <c r="CA509" i="1"/>
  <c r="BX509" i="1"/>
  <c r="BW509" i="1"/>
  <c r="BT509" i="1"/>
  <c r="BS509" i="1"/>
  <c r="BP509" i="1"/>
  <c r="BO509" i="1"/>
  <c r="BL509" i="1"/>
  <c r="BK509" i="1"/>
  <c r="BH509" i="1"/>
  <c r="BG509" i="1"/>
  <c r="BD509" i="1"/>
  <c r="BC509" i="1"/>
  <c r="AZ509" i="1"/>
  <c r="AY509" i="1"/>
  <c r="AV509" i="1"/>
  <c r="AU509" i="1"/>
  <c r="AR509" i="1"/>
  <c r="AQ509" i="1"/>
  <c r="AN509" i="1"/>
  <c r="AM509" i="1"/>
  <c r="AJ509" i="1"/>
  <c r="AI509" i="1"/>
  <c r="AF509" i="1"/>
  <c r="AE509" i="1"/>
  <c r="AB509" i="1"/>
  <c r="AA509" i="1"/>
  <c r="X509" i="1"/>
  <c r="W509" i="1"/>
  <c r="T509" i="1"/>
  <c r="S509" i="1"/>
  <c r="P509" i="1"/>
  <c r="O509" i="1"/>
  <c r="L509" i="1"/>
  <c r="K509" i="1"/>
  <c r="H509" i="1"/>
  <c r="G509" i="1"/>
  <c r="D509" i="1"/>
  <c r="C509" i="1"/>
  <c r="CJ508" i="1"/>
  <c r="CI508" i="1"/>
  <c r="CF508" i="1"/>
  <c r="CE508" i="1"/>
  <c r="CB508" i="1"/>
  <c r="CA508" i="1"/>
  <c r="BX508" i="1"/>
  <c r="BW508" i="1"/>
  <c r="BT508" i="1"/>
  <c r="BS508" i="1"/>
  <c r="BP508" i="1"/>
  <c r="BO508" i="1"/>
  <c r="BL508" i="1"/>
  <c r="BK508" i="1"/>
  <c r="BH508" i="1"/>
  <c r="BG508" i="1"/>
  <c r="BD508" i="1"/>
  <c r="BC508" i="1"/>
  <c r="AZ508" i="1"/>
  <c r="AY508" i="1"/>
  <c r="AV508" i="1"/>
  <c r="AU508" i="1"/>
  <c r="AR508" i="1"/>
  <c r="AQ508" i="1"/>
  <c r="AN508" i="1"/>
  <c r="AM508" i="1"/>
  <c r="AJ508" i="1"/>
  <c r="AI508" i="1"/>
  <c r="AF508" i="1"/>
  <c r="AE508" i="1"/>
  <c r="AB508" i="1"/>
  <c r="AA508" i="1"/>
  <c r="X508" i="1"/>
  <c r="W508" i="1"/>
  <c r="T508" i="1"/>
  <c r="S508" i="1"/>
  <c r="P508" i="1"/>
  <c r="O508" i="1"/>
  <c r="L508" i="1"/>
  <c r="K508" i="1"/>
  <c r="H508" i="1"/>
  <c r="G508" i="1"/>
  <c r="D508" i="1"/>
  <c r="C508" i="1"/>
  <c r="CJ507" i="1"/>
  <c r="CI507" i="1"/>
  <c r="CF507" i="1"/>
  <c r="CE507" i="1"/>
  <c r="CB507" i="1"/>
  <c r="CA507" i="1"/>
  <c r="BX507" i="1"/>
  <c r="BW507" i="1"/>
  <c r="BT507" i="1"/>
  <c r="BS507" i="1"/>
  <c r="BP507" i="1"/>
  <c r="BO507" i="1"/>
  <c r="BL507" i="1"/>
  <c r="BK507" i="1"/>
  <c r="BH507" i="1"/>
  <c r="BG507" i="1"/>
  <c r="BD507" i="1"/>
  <c r="BC507" i="1"/>
  <c r="AZ507" i="1"/>
  <c r="AY507" i="1"/>
  <c r="AV507" i="1"/>
  <c r="AU507" i="1"/>
  <c r="AR507" i="1"/>
  <c r="AQ507" i="1"/>
  <c r="AN507" i="1"/>
  <c r="AM507" i="1"/>
  <c r="AJ507" i="1"/>
  <c r="AI507" i="1"/>
  <c r="AF507" i="1"/>
  <c r="AE507" i="1"/>
  <c r="AB507" i="1"/>
  <c r="AA507" i="1"/>
  <c r="X507" i="1"/>
  <c r="W507" i="1"/>
  <c r="T507" i="1"/>
  <c r="S507" i="1"/>
  <c r="P507" i="1"/>
  <c r="O507" i="1"/>
  <c r="L507" i="1"/>
  <c r="K507" i="1"/>
  <c r="H507" i="1"/>
  <c r="G507" i="1"/>
  <c r="D507" i="1"/>
  <c r="C507" i="1"/>
  <c r="CJ506" i="1"/>
  <c r="CI506" i="1"/>
  <c r="CF506" i="1"/>
  <c r="CE506" i="1"/>
  <c r="CB506" i="1"/>
  <c r="CA506" i="1"/>
  <c r="BX506" i="1"/>
  <c r="BW506" i="1"/>
  <c r="BT506" i="1"/>
  <c r="BS506" i="1"/>
  <c r="BP506" i="1"/>
  <c r="BO506" i="1"/>
  <c r="BL506" i="1"/>
  <c r="BK506" i="1"/>
  <c r="BH506" i="1"/>
  <c r="BG506" i="1"/>
  <c r="BD506" i="1"/>
  <c r="BC506" i="1"/>
  <c r="AZ506" i="1"/>
  <c r="AY506" i="1"/>
  <c r="AV506" i="1"/>
  <c r="AU506" i="1"/>
  <c r="AR506" i="1"/>
  <c r="AQ506" i="1"/>
  <c r="AN506" i="1"/>
  <c r="AM506" i="1"/>
  <c r="AJ506" i="1"/>
  <c r="AI506" i="1"/>
  <c r="AF506" i="1"/>
  <c r="AE506" i="1"/>
  <c r="AB506" i="1"/>
  <c r="AA506" i="1"/>
  <c r="X506" i="1"/>
  <c r="W506" i="1"/>
  <c r="T506" i="1"/>
  <c r="S506" i="1"/>
  <c r="P506" i="1"/>
  <c r="O506" i="1"/>
  <c r="L506" i="1"/>
  <c r="K506" i="1"/>
  <c r="H506" i="1"/>
  <c r="G506" i="1"/>
  <c r="D506" i="1"/>
  <c r="C506" i="1"/>
  <c r="CJ505" i="1"/>
  <c r="CI505" i="1"/>
  <c r="CF505" i="1"/>
  <c r="CE505" i="1"/>
  <c r="CB505" i="1"/>
  <c r="CA505" i="1"/>
  <c r="BX505" i="1"/>
  <c r="BW505" i="1"/>
  <c r="BT505" i="1"/>
  <c r="BS505" i="1"/>
  <c r="BP505" i="1"/>
  <c r="BO505" i="1"/>
  <c r="BL505" i="1"/>
  <c r="BK505" i="1"/>
  <c r="BH505" i="1"/>
  <c r="BG505" i="1"/>
  <c r="BD505" i="1"/>
  <c r="BC505" i="1"/>
  <c r="AZ505" i="1"/>
  <c r="AY505" i="1"/>
  <c r="AV505" i="1"/>
  <c r="AU505" i="1"/>
  <c r="AR505" i="1"/>
  <c r="AQ505" i="1"/>
  <c r="AN505" i="1"/>
  <c r="AM505" i="1"/>
  <c r="AJ505" i="1"/>
  <c r="AI505" i="1"/>
  <c r="AF505" i="1"/>
  <c r="AE505" i="1"/>
  <c r="AB505" i="1"/>
  <c r="AA505" i="1"/>
  <c r="X505" i="1"/>
  <c r="W505" i="1"/>
  <c r="T505" i="1"/>
  <c r="S505" i="1"/>
  <c r="P505" i="1"/>
  <c r="O505" i="1"/>
  <c r="L505" i="1"/>
  <c r="K505" i="1"/>
  <c r="H505" i="1"/>
  <c r="G505" i="1"/>
  <c r="D505" i="1"/>
  <c r="C505" i="1"/>
  <c r="CJ504" i="1"/>
  <c r="CI504" i="1"/>
  <c r="CF504" i="1"/>
  <c r="CE504" i="1"/>
  <c r="CB504" i="1"/>
  <c r="CA504" i="1"/>
  <c r="BX504" i="1"/>
  <c r="BW504" i="1"/>
  <c r="BT504" i="1"/>
  <c r="BS504" i="1"/>
  <c r="BP504" i="1"/>
  <c r="BO504" i="1"/>
  <c r="BL504" i="1"/>
  <c r="BK504" i="1"/>
  <c r="BH504" i="1"/>
  <c r="BG504" i="1"/>
  <c r="BD504" i="1"/>
  <c r="BC504" i="1"/>
  <c r="AZ504" i="1"/>
  <c r="AY504" i="1"/>
  <c r="AV504" i="1"/>
  <c r="AU504" i="1"/>
  <c r="AR504" i="1"/>
  <c r="AQ504" i="1"/>
  <c r="AN504" i="1"/>
  <c r="AM504" i="1"/>
  <c r="AJ504" i="1"/>
  <c r="AI504" i="1"/>
  <c r="AF504" i="1"/>
  <c r="AE504" i="1"/>
  <c r="AB504" i="1"/>
  <c r="AA504" i="1"/>
  <c r="X504" i="1"/>
  <c r="W504" i="1"/>
  <c r="T504" i="1"/>
  <c r="S504" i="1"/>
  <c r="P504" i="1"/>
  <c r="O504" i="1"/>
  <c r="L504" i="1"/>
  <c r="K504" i="1"/>
  <c r="H504" i="1"/>
  <c r="G504" i="1"/>
  <c r="D504" i="1"/>
  <c r="C504" i="1"/>
  <c r="CJ502" i="1"/>
  <c r="CI502" i="1"/>
  <c r="CF502" i="1"/>
  <c r="CE502" i="1"/>
  <c r="CB502" i="1"/>
  <c r="CA502" i="1"/>
  <c r="BX502" i="1"/>
  <c r="BW502" i="1"/>
  <c r="BT502" i="1"/>
  <c r="BS502" i="1"/>
  <c r="BP502" i="1"/>
  <c r="BO502" i="1"/>
  <c r="BL502" i="1"/>
  <c r="BK502" i="1"/>
  <c r="BH502" i="1"/>
  <c r="BG502" i="1"/>
  <c r="BD502" i="1"/>
  <c r="BC502" i="1"/>
  <c r="AZ502" i="1"/>
  <c r="AY502" i="1"/>
  <c r="AV502" i="1"/>
  <c r="AU502" i="1"/>
  <c r="AR502" i="1"/>
  <c r="AQ502" i="1"/>
  <c r="AN502" i="1"/>
  <c r="AM502" i="1"/>
  <c r="AJ502" i="1"/>
  <c r="AI502" i="1"/>
  <c r="AF502" i="1"/>
  <c r="AE502" i="1"/>
  <c r="AB502" i="1"/>
  <c r="AA502" i="1"/>
  <c r="X502" i="1"/>
  <c r="W502" i="1"/>
  <c r="T502" i="1"/>
  <c r="S502" i="1"/>
  <c r="P502" i="1"/>
  <c r="O502" i="1"/>
  <c r="L502" i="1"/>
  <c r="K502" i="1"/>
  <c r="H502" i="1"/>
  <c r="G502" i="1"/>
  <c r="D502" i="1"/>
  <c r="C502" i="1"/>
  <c r="CJ501" i="1"/>
  <c r="CI501" i="1"/>
  <c r="CF501" i="1"/>
  <c r="CE501" i="1"/>
  <c r="CB501" i="1"/>
  <c r="CA501" i="1"/>
  <c r="BX501" i="1"/>
  <c r="BW501" i="1"/>
  <c r="BT501" i="1"/>
  <c r="BS501" i="1"/>
  <c r="BP501" i="1"/>
  <c r="BO501" i="1"/>
  <c r="BL501" i="1"/>
  <c r="BK501" i="1"/>
  <c r="BH501" i="1"/>
  <c r="BG501" i="1"/>
  <c r="BD501" i="1"/>
  <c r="BC501" i="1"/>
  <c r="AZ501" i="1"/>
  <c r="AY501" i="1"/>
  <c r="AV501" i="1"/>
  <c r="AU501" i="1"/>
  <c r="AR501" i="1"/>
  <c r="AQ501" i="1"/>
  <c r="AN501" i="1"/>
  <c r="AM501" i="1"/>
  <c r="AJ501" i="1"/>
  <c r="AI501" i="1"/>
  <c r="AF501" i="1"/>
  <c r="AE501" i="1"/>
  <c r="AB501" i="1"/>
  <c r="AA501" i="1"/>
  <c r="X501" i="1"/>
  <c r="W501" i="1"/>
  <c r="T501" i="1"/>
  <c r="S501" i="1"/>
  <c r="P501" i="1"/>
  <c r="O501" i="1"/>
  <c r="L501" i="1"/>
  <c r="K501" i="1"/>
  <c r="H501" i="1"/>
  <c r="G501" i="1"/>
  <c r="D501" i="1"/>
  <c r="C501" i="1"/>
  <c r="CJ500" i="1"/>
  <c r="CI500" i="1"/>
  <c r="CF500" i="1"/>
  <c r="CE500" i="1"/>
  <c r="CB500" i="1"/>
  <c r="CA500" i="1"/>
  <c r="BX500" i="1"/>
  <c r="BW500" i="1"/>
  <c r="BT500" i="1"/>
  <c r="BS500" i="1"/>
  <c r="BP500" i="1"/>
  <c r="BO500" i="1"/>
  <c r="BL500" i="1"/>
  <c r="BK500" i="1"/>
  <c r="BH500" i="1"/>
  <c r="BG500" i="1"/>
  <c r="BD500" i="1"/>
  <c r="BC500" i="1"/>
  <c r="AZ500" i="1"/>
  <c r="AY500" i="1"/>
  <c r="AV500" i="1"/>
  <c r="AU500" i="1"/>
  <c r="AR500" i="1"/>
  <c r="AQ500" i="1"/>
  <c r="AN500" i="1"/>
  <c r="AM500" i="1"/>
  <c r="AJ500" i="1"/>
  <c r="AI500" i="1"/>
  <c r="AF500" i="1"/>
  <c r="AE500" i="1"/>
  <c r="AB500" i="1"/>
  <c r="AA500" i="1"/>
  <c r="X500" i="1"/>
  <c r="W500" i="1"/>
  <c r="T500" i="1"/>
  <c r="S500" i="1"/>
  <c r="P500" i="1"/>
  <c r="O500" i="1"/>
  <c r="L500" i="1"/>
  <c r="K500" i="1"/>
  <c r="H500" i="1"/>
  <c r="G500" i="1"/>
  <c r="D500" i="1"/>
  <c r="C500" i="1"/>
  <c r="CJ499" i="1"/>
  <c r="CI499" i="1"/>
  <c r="CF499" i="1"/>
  <c r="CE499" i="1"/>
  <c r="CB499" i="1"/>
  <c r="CA499" i="1"/>
  <c r="BX499" i="1"/>
  <c r="BW499" i="1"/>
  <c r="BT499" i="1"/>
  <c r="BS499" i="1"/>
  <c r="BP499" i="1"/>
  <c r="BO499" i="1"/>
  <c r="BL499" i="1"/>
  <c r="BK499" i="1"/>
  <c r="BH499" i="1"/>
  <c r="BG499" i="1"/>
  <c r="BD499" i="1"/>
  <c r="BC499" i="1"/>
  <c r="AZ499" i="1"/>
  <c r="AY499" i="1"/>
  <c r="AV499" i="1"/>
  <c r="AU499" i="1"/>
  <c r="AR499" i="1"/>
  <c r="AQ499" i="1"/>
  <c r="AN499" i="1"/>
  <c r="AM499" i="1"/>
  <c r="AJ499" i="1"/>
  <c r="AI499" i="1"/>
  <c r="AF499" i="1"/>
  <c r="AE499" i="1"/>
  <c r="AB499" i="1"/>
  <c r="AA499" i="1"/>
  <c r="X499" i="1"/>
  <c r="W499" i="1"/>
  <c r="T499" i="1"/>
  <c r="S499" i="1"/>
  <c r="P499" i="1"/>
  <c r="O499" i="1"/>
  <c r="L499" i="1"/>
  <c r="K499" i="1"/>
  <c r="H499" i="1"/>
  <c r="G499" i="1"/>
  <c r="D499" i="1"/>
  <c r="C499" i="1"/>
  <c r="CJ498" i="1"/>
  <c r="CI498" i="1"/>
  <c r="CF498" i="1"/>
  <c r="CE498" i="1"/>
  <c r="CB498" i="1"/>
  <c r="CA498" i="1"/>
  <c r="BX498" i="1"/>
  <c r="BW498" i="1"/>
  <c r="BT498" i="1"/>
  <c r="BS498" i="1"/>
  <c r="BP498" i="1"/>
  <c r="BO498" i="1"/>
  <c r="BL498" i="1"/>
  <c r="BK498" i="1"/>
  <c r="BH498" i="1"/>
  <c r="BG498" i="1"/>
  <c r="BD498" i="1"/>
  <c r="BC498" i="1"/>
  <c r="AZ498" i="1"/>
  <c r="AY498" i="1"/>
  <c r="AV498" i="1"/>
  <c r="AU498" i="1"/>
  <c r="AR498" i="1"/>
  <c r="AQ498" i="1"/>
  <c r="AN498" i="1"/>
  <c r="AM498" i="1"/>
  <c r="AJ498" i="1"/>
  <c r="AI498" i="1"/>
  <c r="AF498" i="1"/>
  <c r="AE498" i="1"/>
  <c r="AB498" i="1"/>
  <c r="AA498" i="1"/>
  <c r="X498" i="1"/>
  <c r="W498" i="1"/>
  <c r="T498" i="1"/>
  <c r="S498" i="1"/>
  <c r="P498" i="1"/>
  <c r="O498" i="1"/>
  <c r="L498" i="1"/>
  <c r="K498" i="1"/>
  <c r="H498" i="1"/>
  <c r="G498" i="1"/>
  <c r="D498" i="1"/>
  <c r="C498" i="1"/>
  <c r="CJ497" i="1"/>
  <c r="CI497" i="1"/>
  <c r="CF497" i="1"/>
  <c r="CE497" i="1"/>
  <c r="CB497" i="1"/>
  <c r="CA497" i="1"/>
  <c r="BX497" i="1"/>
  <c r="BW497" i="1"/>
  <c r="BT497" i="1"/>
  <c r="BS497" i="1"/>
  <c r="BP497" i="1"/>
  <c r="BO497" i="1"/>
  <c r="BL497" i="1"/>
  <c r="BK497" i="1"/>
  <c r="BH497" i="1"/>
  <c r="BG497" i="1"/>
  <c r="BD497" i="1"/>
  <c r="BC497" i="1"/>
  <c r="AZ497" i="1"/>
  <c r="AY497" i="1"/>
  <c r="AV497" i="1"/>
  <c r="AU497" i="1"/>
  <c r="AR497" i="1"/>
  <c r="AQ497" i="1"/>
  <c r="AN497" i="1"/>
  <c r="AM497" i="1"/>
  <c r="AJ497" i="1"/>
  <c r="AI497" i="1"/>
  <c r="AF497" i="1"/>
  <c r="AE497" i="1"/>
  <c r="AB497" i="1"/>
  <c r="AA497" i="1"/>
  <c r="X497" i="1"/>
  <c r="W497" i="1"/>
  <c r="T497" i="1"/>
  <c r="S497" i="1"/>
  <c r="P497" i="1"/>
  <c r="O497" i="1"/>
  <c r="L497" i="1"/>
  <c r="K497" i="1"/>
  <c r="H497" i="1"/>
  <c r="G497" i="1"/>
  <c r="D497" i="1"/>
  <c r="C497" i="1"/>
  <c r="CJ495" i="1"/>
  <c r="CI495" i="1"/>
  <c r="CF495" i="1"/>
  <c r="CE495" i="1"/>
  <c r="CB495" i="1"/>
  <c r="CA495" i="1"/>
  <c r="BX495" i="1"/>
  <c r="BW495" i="1"/>
  <c r="BT495" i="1"/>
  <c r="BS495" i="1"/>
  <c r="BP495" i="1"/>
  <c r="BO495" i="1"/>
  <c r="BL495" i="1"/>
  <c r="BK495" i="1"/>
  <c r="BH495" i="1"/>
  <c r="BG495" i="1"/>
  <c r="BD495" i="1"/>
  <c r="BC495" i="1"/>
  <c r="AZ495" i="1"/>
  <c r="AY495" i="1"/>
  <c r="AV495" i="1"/>
  <c r="AU495" i="1"/>
  <c r="AR495" i="1"/>
  <c r="AQ495" i="1"/>
  <c r="AN495" i="1"/>
  <c r="AM495" i="1"/>
  <c r="AJ495" i="1"/>
  <c r="AI495" i="1"/>
  <c r="AF495" i="1"/>
  <c r="AE495" i="1"/>
  <c r="AB495" i="1"/>
  <c r="AA495" i="1"/>
  <c r="X495" i="1"/>
  <c r="W495" i="1"/>
  <c r="T495" i="1"/>
  <c r="S495" i="1"/>
  <c r="P495" i="1"/>
  <c r="O495" i="1"/>
  <c r="L495" i="1"/>
  <c r="K495" i="1"/>
  <c r="H495" i="1"/>
  <c r="G495" i="1"/>
  <c r="D495" i="1"/>
  <c r="C495" i="1"/>
  <c r="CJ494" i="1"/>
  <c r="CI494" i="1"/>
  <c r="CF494" i="1"/>
  <c r="CE494" i="1"/>
  <c r="CB494" i="1"/>
  <c r="CA494" i="1"/>
  <c r="BX494" i="1"/>
  <c r="BW494" i="1"/>
  <c r="BT494" i="1"/>
  <c r="BS494" i="1"/>
  <c r="BP494" i="1"/>
  <c r="BO494" i="1"/>
  <c r="BL494" i="1"/>
  <c r="BK494" i="1"/>
  <c r="BH494" i="1"/>
  <c r="BG494" i="1"/>
  <c r="BD494" i="1"/>
  <c r="BC494" i="1"/>
  <c r="AZ494" i="1"/>
  <c r="AY494" i="1"/>
  <c r="AV494" i="1"/>
  <c r="AU494" i="1"/>
  <c r="AR494" i="1"/>
  <c r="AQ494" i="1"/>
  <c r="AN494" i="1"/>
  <c r="AM494" i="1"/>
  <c r="AJ494" i="1"/>
  <c r="AI494" i="1"/>
  <c r="AF494" i="1"/>
  <c r="AE494" i="1"/>
  <c r="AB494" i="1"/>
  <c r="AA494" i="1"/>
  <c r="X494" i="1"/>
  <c r="W494" i="1"/>
  <c r="T494" i="1"/>
  <c r="S494" i="1"/>
  <c r="P494" i="1"/>
  <c r="O494" i="1"/>
  <c r="L494" i="1"/>
  <c r="K494" i="1"/>
  <c r="H494" i="1"/>
  <c r="G494" i="1"/>
  <c r="D494" i="1"/>
  <c r="C494" i="1"/>
  <c r="CJ493" i="1"/>
  <c r="CI493" i="1"/>
  <c r="CF493" i="1"/>
  <c r="CE493" i="1"/>
  <c r="CB493" i="1"/>
  <c r="CA493" i="1"/>
  <c r="BX493" i="1"/>
  <c r="BW493" i="1"/>
  <c r="BT493" i="1"/>
  <c r="BS493" i="1"/>
  <c r="BP493" i="1"/>
  <c r="BO493" i="1"/>
  <c r="BL493" i="1"/>
  <c r="BK493" i="1"/>
  <c r="BH493" i="1"/>
  <c r="BG493" i="1"/>
  <c r="BD493" i="1"/>
  <c r="BC493" i="1"/>
  <c r="AZ493" i="1"/>
  <c r="AY493" i="1"/>
  <c r="AV493" i="1"/>
  <c r="AU493" i="1"/>
  <c r="AR493" i="1"/>
  <c r="AQ493" i="1"/>
  <c r="AN493" i="1"/>
  <c r="AM493" i="1"/>
  <c r="AJ493" i="1"/>
  <c r="AI493" i="1"/>
  <c r="AF493" i="1"/>
  <c r="AE493" i="1"/>
  <c r="AB493" i="1"/>
  <c r="AA493" i="1"/>
  <c r="X493" i="1"/>
  <c r="W493" i="1"/>
  <c r="T493" i="1"/>
  <c r="S493" i="1"/>
  <c r="P493" i="1"/>
  <c r="O493" i="1"/>
  <c r="L493" i="1"/>
  <c r="K493" i="1"/>
  <c r="H493" i="1"/>
  <c r="G493" i="1"/>
  <c r="D493" i="1"/>
  <c r="C493" i="1"/>
  <c r="CJ492" i="1"/>
  <c r="CI492" i="1"/>
  <c r="CF492" i="1"/>
  <c r="CE492" i="1"/>
  <c r="CB492" i="1"/>
  <c r="CA492" i="1"/>
  <c r="BX492" i="1"/>
  <c r="BW492" i="1"/>
  <c r="BT492" i="1"/>
  <c r="BS492" i="1"/>
  <c r="BP492" i="1"/>
  <c r="BO492" i="1"/>
  <c r="BL492" i="1"/>
  <c r="BK492" i="1"/>
  <c r="BH492" i="1"/>
  <c r="BG492" i="1"/>
  <c r="BD492" i="1"/>
  <c r="BC492" i="1"/>
  <c r="AZ492" i="1"/>
  <c r="AY492" i="1"/>
  <c r="AV492" i="1"/>
  <c r="AU492" i="1"/>
  <c r="AR492" i="1"/>
  <c r="AQ492" i="1"/>
  <c r="AN492" i="1"/>
  <c r="AM492" i="1"/>
  <c r="AJ492" i="1"/>
  <c r="AI492" i="1"/>
  <c r="AF492" i="1"/>
  <c r="AE492" i="1"/>
  <c r="AB492" i="1"/>
  <c r="AA492" i="1"/>
  <c r="X492" i="1"/>
  <c r="W492" i="1"/>
  <c r="T492" i="1"/>
  <c r="S492" i="1"/>
  <c r="P492" i="1"/>
  <c r="O492" i="1"/>
  <c r="L492" i="1"/>
  <c r="K492" i="1"/>
  <c r="H492" i="1"/>
  <c r="G492" i="1"/>
  <c r="D492" i="1"/>
  <c r="C492" i="1"/>
  <c r="CJ491" i="1"/>
  <c r="CI491" i="1"/>
  <c r="CF491" i="1"/>
  <c r="CE491" i="1"/>
  <c r="CB491" i="1"/>
  <c r="CA491" i="1"/>
  <c r="BX491" i="1"/>
  <c r="BW491" i="1"/>
  <c r="BT491" i="1"/>
  <c r="BS491" i="1"/>
  <c r="BP491" i="1"/>
  <c r="BO491" i="1"/>
  <c r="BL491" i="1"/>
  <c r="BK491" i="1"/>
  <c r="BH491" i="1"/>
  <c r="BG491" i="1"/>
  <c r="BD491" i="1"/>
  <c r="BC491" i="1"/>
  <c r="AZ491" i="1"/>
  <c r="AY491" i="1"/>
  <c r="AV491" i="1"/>
  <c r="AU491" i="1"/>
  <c r="AR491" i="1"/>
  <c r="AQ491" i="1"/>
  <c r="AN491" i="1"/>
  <c r="AM491" i="1"/>
  <c r="AJ491" i="1"/>
  <c r="AI491" i="1"/>
  <c r="AF491" i="1"/>
  <c r="AE491" i="1"/>
  <c r="AB491" i="1"/>
  <c r="AA491" i="1"/>
  <c r="X491" i="1"/>
  <c r="W491" i="1"/>
  <c r="T491" i="1"/>
  <c r="S491" i="1"/>
  <c r="P491" i="1"/>
  <c r="O491" i="1"/>
  <c r="L491" i="1"/>
  <c r="K491" i="1"/>
  <c r="H491" i="1"/>
  <c r="G491" i="1"/>
  <c r="D491" i="1"/>
  <c r="C491" i="1"/>
  <c r="CJ490" i="1"/>
  <c r="CI490" i="1"/>
  <c r="CF490" i="1"/>
  <c r="CE490" i="1"/>
  <c r="CB490" i="1"/>
  <c r="CA490" i="1"/>
  <c r="BX490" i="1"/>
  <c r="BW490" i="1"/>
  <c r="BT490" i="1"/>
  <c r="BS490" i="1"/>
  <c r="BP490" i="1"/>
  <c r="BO490" i="1"/>
  <c r="BL490" i="1"/>
  <c r="BK490" i="1"/>
  <c r="BH490" i="1"/>
  <c r="BG490" i="1"/>
  <c r="BD490" i="1"/>
  <c r="BC490" i="1"/>
  <c r="AZ490" i="1"/>
  <c r="AY490" i="1"/>
  <c r="AV490" i="1"/>
  <c r="AU490" i="1"/>
  <c r="AR490" i="1"/>
  <c r="AQ490" i="1"/>
  <c r="AN490" i="1"/>
  <c r="AM490" i="1"/>
  <c r="AJ490" i="1"/>
  <c r="AI490" i="1"/>
  <c r="AF490" i="1"/>
  <c r="AE490" i="1"/>
  <c r="AB490" i="1"/>
  <c r="AA490" i="1"/>
  <c r="X490" i="1"/>
  <c r="W490" i="1"/>
  <c r="T490" i="1"/>
  <c r="S490" i="1"/>
  <c r="P490" i="1"/>
  <c r="O490" i="1"/>
  <c r="L490" i="1"/>
  <c r="K490" i="1"/>
  <c r="H490" i="1"/>
  <c r="G490" i="1"/>
  <c r="D490" i="1"/>
  <c r="C490" i="1"/>
  <c r="CJ483" i="1"/>
  <c r="CF483" i="1"/>
  <c r="CB483" i="1"/>
  <c r="BX483" i="1"/>
  <c r="BT483" i="1"/>
  <c r="BP483" i="1"/>
  <c r="BL483" i="1"/>
  <c r="BH483" i="1"/>
  <c r="BD483" i="1"/>
  <c r="AZ483" i="1"/>
  <c r="AV483" i="1"/>
  <c r="AR483" i="1"/>
  <c r="AN483" i="1"/>
  <c r="AJ483" i="1"/>
  <c r="AF483" i="1"/>
  <c r="AB483" i="1"/>
  <c r="X483" i="1"/>
  <c r="T483" i="1"/>
  <c r="P483" i="1"/>
  <c r="L483" i="1"/>
  <c r="H483" i="1"/>
  <c r="D483" i="1"/>
  <c r="CJ482" i="1"/>
  <c r="CF482" i="1"/>
  <c r="CB482" i="1"/>
  <c r="BX482" i="1"/>
  <c r="BT482" i="1"/>
  <c r="BP482" i="1"/>
  <c r="BL482" i="1"/>
  <c r="BH482" i="1"/>
  <c r="BD482" i="1"/>
  <c r="AZ482" i="1"/>
  <c r="AV482" i="1"/>
  <c r="AR482" i="1"/>
  <c r="AN482" i="1"/>
  <c r="AJ482" i="1"/>
  <c r="AF482" i="1"/>
  <c r="AB482" i="1"/>
  <c r="X482" i="1"/>
  <c r="T482" i="1"/>
  <c r="P482" i="1"/>
  <c r="L482" i="1"/>
  <c r="H482" i="1"/>
  <c r="D482" i="1"/>
  <c r="CJ475" i="1"/>
  <c r="CI475" i="1"/>
  <c r="CF475" i="1"/>
  <c r="CE475" i="1"/>
  <c r="CB475" i="1"/>
  <c r="CA475" i="1"/>
  <c r="BX475" i="1"/>
  <c r="BW475" i="1"/>
  <c r="BT475" i="1"/>
  <c r="BS475" i="1"/>
  <c r="BP475" i="1"/>
  <c r="BO475" i="1"/>
  <c r="BL475" i="1"/>
  <c r="BK475" i="1"/>
  <c r="BH475" i="1"/>
  <c r="BG475" i="1"/>
  <c r="BD475" i="1"/>
  <c r="BC475" i="1"/>
  <c r="AZ475" i="1"/>
  <c r="AY475" i="1"/>
  <c r="AV475" i="1"/>
  <c r="AU475" i="1"/>
  <c r="AR475" i="1"/>
  <c r="AQ475" i="1"/>
  <c r="AN475" i="1"/>
  <c r="AM475" i="1"/>
  <c r="AJ475" i="1"/>
  <c r="AI475" i="1"/>
  <c r="AF475" i="1"/>
  <c r="AE475" i="1"/>
  <c r="AB475" i="1"/>
  <c r="AA475" i="1"/>
  <c r="X475" i="1"/>
  <c r="W475" i="1"/>
  <c r="T475" i="1"/>
  <c r="S475" i="1"/>
  <c r="P475" i="1"/>
  <c r="L475" i="1"/>
  <c r="K475" i="1"/>
  <c r="H475" i="1"/>
  <c r="G475" i="1"/>
  <c r="D475" i="1"/>
  <c r="C475" i="1"/>
  <c r="CJ474" i="1"/>
  <c r="CI474" i="1"/>
  <c r="CF474" i="1"/>
  <c r="CE474" i="1"/>
  <c r="CB474" i="1"/>
  <c r="CA474" i="1"/>
  <c r="BX474" i="1"/>
  <c r="BW474" i="1"/>
  <c r="BT474" i="1"/>
  <c r="BS474" i="1"/>
  <c r="BP474" i="1"/>
  <c r="BO474" i="1"/>
  <c r="BL474" i="1"/>
  <c r="BK474" i="1"/>
  <c r="BH474" i="1"/>
  <c r="BG474" i="1"/>
  <c r="BD474" i="1"/>
  <c r="BC474" i="1"/>
  <c r="AZ474" i="1"/>
  <c r="AY474" i="1"/>
  <c r="AV474" i="1"/>
  <c r="AU474" i="1"/>
  <c r="AR474" i="1"/>
  <c r="AQ474" i="1"/>
  <c r="AN474" i="1"/>
  <c r="AM474" i="1"/>
  <c r="AJ474" i="1"/>
  <c r="AI474" i="1"/>
  <c r="AF474" i="1"/>
  <c r="AE474" i="1"/>
  <c r="AB474" i="1"/>
  <c r="AA474" i="1"/>
  <c r="X474" i="1"/>
  <c r="W474" i="1"/>
  <c r="T474" i="1"/>
  <c r="S474" i="1"/>
  <c r="P474" i="1"/>
  <c r="L474" i="1"/>
  <c r="K474" i="1"/>
  <c r="H474" i="1"/>
  <c r="G474" i="1"/>
  <c r="D474" i="1"/>
  <c r="C474" i="1"/>
  <c r="CJ473" i="1"/>
  <c r="CI473" i="1"/>
  <c r="CF473" i="1"/>
  <c r="CE473" i="1"/>
  <c r="CB473" i="1"/>
  <c r="CA473" i="1"/>
  <c r="BX473" i="1"/>
  <c r="BW473" i="1"/>
  <c r="BT473" i="1"/>
  <c r="BS473" i="1"/>
  <c r="BP473" i="1"/>
  <c r="BO473" i="1"/>
  <c r="BL473" i="1"/>
  <c r="BK473" i="1"/>
  <c r="BH473" i="1"/>
  <c r="BG473" i="1"/>
  <c r="BD473" i="1"/>
  <c r="BC473" i="1"/>
  <c r="AZ473" i="1"/>
  <c r="AY473" i="1"/>
  <c r="AV473" i="1"/>
  <c r="AU473" i="1"/>
  <c r="AR473" i="1"/>
  <c r="AQ473" i="1"/>
  <c r="AN473" i="1"/>
  <c r="AM473" i="1"/>
  <c r="AJ473" i="1"/>
  <c r="AI473" i="1"/>
  <c r="AF473" i="1"/>
  <c r="AE473" i="1"/>
  <c r="AB473" i="1"/>
  <c r="AA473" i="1"/>
  <c r="X473" i="1"/>
  <c r="W473" i="1"/>
  <c r="T473" i="1"/>
  <c r="S473" i="1"/>
  <c r="P473" i="1"/>
  <c r="L473" i="1"/>
  <c r="K473" i="1"/>
  <c r="H473" i="1"/>
  <c r="G473" i="1"/>
  <c r="D473" i="1"/>
  <c r="C473" i="1"/>
  <c r="CJ472" i="1"/>
  <c r="CI472" i="1"/>
  <c r="CF472" i="1"/>
  <c r="CE472" i="1"/>
  <c r="CB472" i="1"/>
  <c r="CA472" i="1"/>
  <c r="BX472" i="1"/>
  <c r="BW472" i="1"/>
  <c r="BT472" i="1"/>
  <c r="BS472" i="1"/>
  <c r="BP472" i="1"/>
  <c r="BO472" i="1"/>
  <c r="BL472" i="1"/>
  <c r="BK472" i="1"/>
  <c r="BH472" i="1"/>
  <c r="BG472" i="1"/>
  <c r="BD472" i="1"/>
  <c r="BC472" i="1"/>
  <c r="AZ472" i="1"/>
  <c r="AY472" i="1"/>
  <c r="AV472" i="1"/>
  <c r="AU472" i="1"/>
  <c r="AR472" i="1"/>
  <c r="AQ472" i="1"/>
  <c r="AN472" i="1"/>
  <c r="AM472" i="1"/>
  <c r="AJ472" i="1"/>
  <c r="AI472" i="1"/>
  <c r="AF472" i="1"/>
  <c r="AE472" i="1"/>
  <c r="AB472" i="1"/>
  <c r="AA472" i="1"/>
  <c r="X472" i="1"/>
  <c r="W472" i="1"/>
  <c r="T472" i="1"/>
  <c r="S472" i="1"/>
  <c r="P472" i="1"/>
  <c r="L472" i="1"/>
  <c r="K472" i="1"/>
  <c r="H472" i="1"/>
  <c r="G472" i="1"/>
  <c r="D472" i="1"/>
  <c r="C472" i="1"/>
  <c r="CJ465" i="1"/>
  <c r="CI465" i="1"/>
  <c r="CF465" i="1"/>
  <c r="CE465" i="1"/>
  <c r="CB465" i="1"/>
  <c r="CA465" i="1"/>
  <c r="BX465" i="1"/>
  <c r="BW465" i="1"/>
  <c r="BT465" i="1"/>
  <c r="BS465" i="1"/>
  <c r="BP465" i="1"/>
  <c r="BO465" i="1"/>
  <c r="BL465" i="1"/>
  <c r="BK465" i="1"/>
  <c r="BH465" i="1"/>
  <c r="BG465" i="1"/>
  <c r="BD465" i="1"/>
  <c r="BC465" i="1"/>
  <c r="AZ465" i="1"/>
  <c r="AY465" i="1"/>
  <c r="AV465" i="1"/>
  <c r="AU465" i="1"/>
  <c r="AR465" i="1"/>
  <c r="AQ465" i="1"/>
  <c r="AN465" i="1"/>
  <c r="AM465" i="1"/>
  <c r="AJ465" i="1"/>
  <c r="AI465" i="1"/>
  <c r="AF465" i="1"/>
  <c r="AE465" i="1"/>
  <c r="AB465" i="1"/>
  <c r="AA465" i="1"/>
  <c r="X465" i="1"/>
  <c r="W465" i="1"/>
  <c r="T465" i="1"/>
  <c r="S465" i="1"/>
  <c r="P465" i="1"/>
  <c r="O465" i="1"/>
  <c r="L465" i="1"/>
  <c r="K465" i="1"/>
  <c r="H465" i="1"/>
  <c r="G465" i="1"/>
  <c r="D465" i="1"/>
  <c r="C465" i="1"/>
  <c r="CJ464" i="1"/>
  <c r="CI464" i="1"/>
  <c r="CF464" i="1"/>
  <c r="CE464" i="1"/>
  <c r="CB464" i="1"/>
  <c r="CA464" i="1"/>
  <c r="BX464" i="1"/>
  <c r="BW464" i="1"/>
  <c r="BT464" i="1"/>
  <c r="BS464" i="1"/>
  <c r="BP464" i="1"/>
  <c r="BO464" i="1"/>
  <c r="BL464" i="1"/>
  <c r="BK464" i="1"/>
  <c r="BH464" i="1"/>
  <c r="BG464" i="1"/>
  <c r="BD464" i="1"/>
  <c r="BC464" i="1"/>
  <c r="AZ464" i="1"/>
  <c r="AY464" i="1"/>
  <c r="AV464" i="1"/>
  <c r="AU464" i="1"/>
  <c r="AR464" i="1"/>
  <c r="AQ464" i="1"/>
  <c r="AN464" i="1"/>
  <c r="AM464" i="1"/>
  <c r="AJ464" i="1"/>
  <c r="AI464" i="1"/>
  <c r="AF464" i="1"/>
  <c r="AE464" i="1"/>
  <c r="AB464" i="1"/>
  <c r="AA464" i="1"/>
  <c r="X464" i="1"/>
  <c r="W464" i="1"/>
  <c r="T464" i="1"/>
  <c r="S464" i="1"/>
  <c r="P464" i="1"/>
  <c r="O464" i="1"/>
  <c r="L464" i="1"/>
  <c r="K464" i="1"/>
  <c r="H464" i="1"/>
  <c r="G464" i="1"/>
  <c r="D464" i="1"/>
  <c r="C464" i="1"/>
  <c r="CJ463" i="1"/>
  <c r="CI463" i="1"/>
  <c r="CF463" i="1"/>
  <c r="CE463" i="1"/>
  <c r="CB463" i="1"/>
  <c r="CA463" i="1"/>
  <c r="BX463" i="1"/>
  <c r="BW463" i="1"/>
  <c r="BT463" i="1"/>
  <c r="BS463" i="1"/>
  <c r="BP463" i="1"/>
  <c r="BO463" i="1"/>
  <c r="BL463" i="1"/>
  <c r="BK463" i="1"/>
  <c r="BH463" i="1"/>
  <c r="BG463" i="1"/>
  <c r="BD463" i="1"/>
  <c r="BC463" i="1"/>
  <c r="AZ463" i="1"/>
  <c r="AY463" i="1"/>
  <c r="AV463" i="1"/>
  <c r="AU463" i="1"/>
  <c r="AR463" i="1"/>
  <c r="AQ463" i="1"/>
  <c r="AN463" i="1"/>
  <c r="AM463" i="1"/>
  <c r="AJ463" i="1"/>
  <c r="AI463" i="1"/>
  <c r="AF463" i="1"/>
  <c r="AE463" i="1"/>
  <c r="AB463" i="1"/>
  <c r="AA463" i="1"/>
  <c r="X463" i="1"/>
  <c r="W463" i="1"/>
  <c r="T463" i="1"/>
  <c r="S463" i="1"/>
  <c r="P463" i="1"/>
  <c r="O463" i="1"/>
  <c r="L463" i="1"/>
  <c r="K463" i="1"/>
  <c r="H463" i="1"/>
  <c r="G463" i="1"/>
  <c r="D463" i="1"/>
  <c r="C463" i="1"/>
  <c r="CJ462" i="1"/>
  <c r="CI462" i="1"/>
  <c r="CF462" i="1"/>
  <c r="CE462" i="1"/>
  <c r="CB462" i="1"/>
  <c r="CA462" i="1"/>
  <c r="BX462" i="1"/>
  <c r="BW462" i="1"/>
  <c r="BT462" i="1"/>
  <c r="BS462" i="1"/>
  <c r="BP462" i="1"/>
  <c r="BO462" i="1"/>
  <c r="BL462" i="1"/>
  <c r="BK462" i="1"/>
  <c r="BH462" i="1"/>
  <c r="BG462" i="1"/>
  <c r="BD462" i="1"/>
  <c r="BC462" i="1"/>
  <c r="AZ462" i="1"/>
  <c r="AY462" i="1"/>
  <c r="AV462" i="1"/>
  <c r="AU462" i="1"/>
  <c r="AR462" i="1"/>
  <c r="AQ462" i="1"/>
  <c r="AN462" i="1"/>
  <c r="AM462" i="1"/>
  <c r="AJ462" i="1"/>
  <c r="AI462" i="1"/>
  <c r="AF462" i="1"/>
  <c r="AE462" i="1"/>
  <c r="AB462" i="1"/>
  <c r="AA462" i="1"/>
  <c r="X462" i="1"/>
  <c r="W462" i="1"/>
  <c r="T462" i="1"/>
  <c r="S462" i="1"/>
  <c r="P462" i="1"/>
  <c r="O462" i="1"/>
  <c r="L462" i="1"/>
  <c r="K462" i="1"/>
  <c r="H462" i="1"/>
  <c r="G462" i="1"/>
  <c r="D462" i="1"/>
  <c r="C462" i="1"/>
  <c r="CJ461" i="1"/>
  <c r="CI461" i="1"/>
  <c r="CF461" i="1"/>
  <c r="CE461" i="1"/>
  <c r="CB461" i="1"/>
  <c r="CA461" i="1"/>
  <c r="BX461" i="1"/>
  <c r="BW461" i="1"/>
  <c r="BT461" i="1"/>
  <c r="BS461" i="1"/>
  <c r="BP461" i="1"/>
  <c r="BO461" i="1"/>
  <c r="BL461" i="1"/>
  <c r="BK461" i="1"/>
  <c r="BH461" i="1"/>
  <c r="BG461" i="1"/>
  <c r="BD461" i="1"/>
  <c r="BC461" i="1"/>
  <c r="AZ461" i="1"/>
  <c r="AY461" i="1"/>
  <c r="AV461" i="1"/>
  <c r="AU461" i="1"/>
  <c r="AR461" i="1"/>
  <c r="AQ461" i="1"/>
  <c r="AN461" i="1"/>
  <c r="AM461" i="1"/>
  <c r="AJ461" i="1"/>
  <c r="AI461" i="1"/>
  <c r="AF461" i="1"/>
  <c r="AE461" i="1"/>
  <c r="AB461" i="1"/>
  <c r="AA461" i="1"/>
  <c r="X461" i="1"/>
  <c r="W461" i="1"/>
  <c r="T461" i="1"/>
  <c r="S461" i="1"/>
  <c r="P461" i="1"/>
  <c r="O461" i="1"/>
  <c r="L461" i="1"/>
  <c r="K461" i="1"/>
  <c r="H461" i="1"/>
  <c r="G461" i="1"/>
  <c r="D461" i="1"/>
  <c r="C461" i="1"/>
  <c r="CJ460" i="1"/>
  <c r="CI460" i="1"/>
  <c r="CF460" i="1"/>
  <c r="CE460" i="1"/>
  <c r="CB460" i="1"/>
  <c r="CA460" i="1"/>
  <c r="BX460" i="1"/>
  <c r="BW460" i="1"/>
  <c r="BT460" i="1"/>
  <c r="BS460" i="1"/>
  <c r="BP460" i="1"/>
  <c r="BO460" i="1"/>
  <c r="BL460" i="1"/>
  <c r="BK460" i="1"/>
  <c r="BH460" i="1"/>
  <c r="BG460" i="1"/>
  <c r="BD460" i="1"/>
  <c r="BC460" i="1"/>
  <c r="AZ460" i="1"/>
  <c r="AY460" i="1"/>
  <c r="AV460" i="1"/>
  <c r="AU460" i="1"/>
  <c r="AR460" i="1"/>
  <c r="AQ460" i="1"/>
  <c r="AN460" i="1"/>
  <c r="AM460" i="1"/>
  <c r="AJ460" i="1"/>
  <c r="AI460" i="1"/>
  <c r="AF460" i="1"/>
  <c r="AE460" i="1"/>
  <c r="AB460" i="1"/>
  <c r="AA460" i="1"/>
  <c r="X460" i="1"/>
  <c r="W460" i="1"/>
  <c r="T460" i="1"/>
  <c r="S460" i="1"/>
  <c r="P460" i="1"/>
  <c r="O460" i="1"/>
  <c r="L460" i="1"/>
  <c r="K460" i="1"/>
  <c r="H460" i="1"/>
  <c r="G460" i="1"/>
  <c r="D460" i="1"/>
  <c r="C460" i="1"/>
  <c r="A459" i="1"/>
  <c r="CJ453" i="1"/>
  <c r="CI453" i="1"/>
  <c r="CF453" i="1"/>
  <c r="CE453" i="1"/>
  <c r="CB453" i="1"/>
  <c r="CA453" i="1"/>
  <c r="BX453" i="1"/>
  <c r="BW453" i="1"/>
  <c r="BT453" i="1"/>
  <c r="BS453" i="1"/>
  <c r="BP453" i="1"/>
  <c r="BO453" i="1"/>
  <c r="BL453" i="1"/>
  <c r="BK453" i="1"/>
  <c r="BH453" i="1"/>
  <c r="BG453" i="1"/>
  <c r="BD453" i="1"/>
  <c r="BC453" i="1"/>
  <c r="AZ453" i="1"/>
  <c r="AY453" i="1"/>
  <c r="AV453" i="1"/>
  <c r="AU453" i="1"/>
  <c r="AR453" i="1"/>
  <c r="AQ453" i="1"/>
  <c r="AN453" i="1"/>
  <c r="AM453" i="1"/>
  <c r="AJ453" i="1"/>
  <c r="AI453" i="1"/>
  <c r="AF453" i="1"/>
  <c r="AE453" i="1"/>
  <c r="AB453" i="1"/>
  <c r="AA453" i="1"/>
  <c r="X453" i="1"/>
  <c r="W453" i="1"/>
  <c r="T453" i="1"/>
  <c r="S453" i="1"/>
  <c r="P453" i="1"/>
  <c r="O453" i="1"/>
  <c r="L453" i="1"/>
  <c r="K453" i="1"/>
  <c r="H453" i="1"/>
  <c r="G453" i="1"/>
  <c r="D453" i="1"/>
  <c r="C453" i="1"/>
  <c r="CJ452" i="1"/>
  <c r="CI452" i="1"/>
  <c r="CF452" i="1"/>
  <c r="CE452" i="1"/>
  <c r="CB452" i="1"/>
  <c r="CA452" i="1"/>
  <c r="BX452" i="1"/>
  <c r="BW452" i="1"/>
  <c r="BT452" i="1"/>
  <c r="BS452" i="1"/>
  <c r="BP452" i="1"/>
  <c r="BO452" i="1"/>
  <c r="BL452" i="1"/>
  <c r="BK452" i="1"/>
  <c r="BH452" i="1"/>
  <c r="BG452" i="1"/>
  <c r="BD452" i="1"/>
  <c r="BC452" i="1"/>
  <c r="AZ452" i="1"/>
  <c r="AY452" i="1"/>
  <c r="AV452" i="1"/>
  <c r="AU452" i="1"/>
  <c r="AR452" i="1"/>
  <c r="AQ452" i="1"/>
  <c r="AN452" i="1"/>
  <c r="AM452" i="1"/>
  <c r="AJ452" i="1"/>
  <c r="AI452" i="1"/>
  <c r="AF452" i="1"/>
  <c r="AE452" i="1"/>
  <c r="AB452" i="1"/>
  <c r="AA452" i="1"/>
  <c r="X452" i="1"/>
  <c r="W452" i="1"/>
  <c r="T452" i="1"/>
  <c r="S452" i="1"/>
  <c r="P452" i="1"/>
  <c r="O452" i="1"/>
  <c r="L452" i="1"/>
  <c r="K452" i="1"/>
  <c r="H452" i="1"/>
  <c r="G452" i="1"/>
  <c r="D452" i="1"/>
  <c r="C452" i="1"/>
  <c r="CJ451" i="1"/>
  <c r="CI451" i="1"/>
  <c r="CF451" i="1"/>
  <c r="CE451" i="1"/>
  <c r="CB451" i="1"/>
  <c r="CA451" i="1"/>
  <c r="BX451" i="1"/>
  <c r="BW451" i="1"/>
  <c r="BT451" i="1"/>
  <c r="BS451" i="1"/>
  <c r="BP451" i="1"/>
  <c r="BO451" i="1"/>
  <c r="BL451" i="1"/>
  <c r="BK451" i="1"/>
  <c r="BH451" i="1"/>
  <c r="BG451" i="1"/>
  <c r="BD451" i="1"/>
  <c r="BC451" i="1"/>
  <c r="AZ451" i="1"/>
  <c r="AY451" i="1"/>
  <c r="AV451" i="1"/>
  <c r="AU451" i="1"/>
  <c r="AR451" i="1"/>
  <c r="AQ451" i="1"/>
  <c r="AN451" i="1"/>
  <c r="AM451" i="1"/>
  <c r="AJ451" i="1"/>
  <c r="AI451" i="1"/>
  <c r="AF451" i="1"/>
  <c r="AE451" i="1"/>
  <c r="AB451" i="1"/>
  <c r="AA451" i="1"/>
  <c r="X451" i="1"/>
  <c r="W451" i="1"/>
  <c r="T451" i="1"/>
  <c r="S451" i="1"/>
  <c r="P451" i="1"/>
  <c r="O451" i="1"/>
  <c r="L451" i="1"/>
  <c r="K451" i="1"/>
  <c r="H451" i="1"/>
  <c r="G451" i="1"/>
  <c r="D451" i="1"/>
  <c r="C451" i="1"/>
  <c r="CJ444" i="1"/>
  <c r="CI444" i="1"/>
  <c r="CF444" i="1"/>
  <c r="CE444" i="1"/>
  <c r="CB444" i="1"/>
  <c r="CA444" i="1"/>
  <c r="BX444" i="1"/>
  <c r="BW444" i="1"/>
  <c r="BT444" i="1"/>
  <c r="BS444" i="1"/>
  <c r="BP444" i="1"/>
  <c r="BO444" i="1"/>
  <c r="BL444" i="1"/>
  <c r="BK444" i="1"/>
  <c r="BH444" i="1"/>
  <c r="BG444" i="1"/>
  <c r="BD444" i="1"/>
  <c r="BC444" i="1"/>
  <c r="AZ444" i="1"/>
  <c r="AY444" i="1"/>
  <c r="AV444" i="1"/>
  <c r="AU444" i="1"/>
  <c r="AR444" i="1"/>
  <c r="AQ444" i="1"/>
  <c r="AN444" i="1"/>
  <c r="AM444" i="1"/>
  <c r="AJ444" i="1"/>
  <c r="AI444" i="1"/>
  <c r="AF444" i="1"/>
  <c r="AE444" i="1"/>
  <c r="AB444" i="1"/>
  <c r="AA444" i="1"/>
  <c r="X444" i="1"/>
  <c r="W444" i="1"/>
  <c r="T444" i="1"/>
  <c r="S444" i="1"/>
  <c r="P444" i="1"/>
  <c r="L444" i="1"/>
  <c r="K444" i="1"/>
  <c r="H444" i="1"/>
  <c r="G444" i="1"/>
  <c r="D444" i="1"/>
  <c r="C444" i="1"/>
  <c r="CJ443" i="1"/>
  <c r="CI443" i="1"/>
  <c r="CF443" i="1"/>
  <c r="CE443" i="1"/>
  <c r="CB443" i="1"/>
  <c r="CA443" i="1"/>
  <c r="BX443" i="1"/>
  <c r="BW443" i="1"/>
  <c r="BT443" i="1"/>
  <c r="BS443" i="1"/>
  <c r="BP443" i="1"/>
  <c r="BO443" i="1"/>
  <c r="BL443" i="1"/>
  <c r="BK443" i="1"/>
  <c r="BH443" i="1"/>
  <c r="BG443" i="1"/>
  <c r="BD443" i="1"/>
  <c r="BC443" i="1"/>
  <c r="AZ443" i="1"/>
  <c r="AY443" i="1"/>
  <c r="AV443" i="1"/>
  <c r="AU443" i="1"/>
  <c r="AR443" i="1"/>
  <c r="AQ443" i="1"/>
  <c r="AN443" i="1"/>
  <c r="AM443" i="1"/>
  <c r="AJ443" i="1"/>
  <c r="AI443" i="1"/>
  <c r="AF443" i="1"/>
  <c r="AE443" i="1"/>
  <c r="AB443" i="1"/>
  <c r="AA443" i="1"/>
  <c r="X443" i="1"/>
  <c r="W443" i="1"/>
  <c r="T443" i="1"/>
  <c r="S443" i="1"/>
  <c r="P443" i="1"/>
  <c r="L443" i="1"/>
  <c r="K443" i="1"/>
  <c r="H443" i="1"/>
  <c r="G443" i="1"/>
  <c r="D443" i="1"/>
  <c r="C443" i="1"/>
  <c r="CJ442" i="1"/>
  <c r="CI442" i="1"/>
  <c r="CF442" i="1"/>
  <c r="CE442" i="1"/>
  <c r="CB442" i="1"/>
  <c r="CA442" i="1"/>
  <c r="BX442" i="1"/>
  <c r="BW442" i="1"/>
  <c r="BT442" i="1"/>
  <c r="BS442" i="1"/>
  <c r="BP442" i="1"/>
  <c r="BO442" i="1"/>
  <c r="BL442" i="1"/>
  <c r="BK442" i="1"/>
  <c r="BH442" i="1"/>
  <c r="BG442" i="1"/>
  <c r="BD442" i="1"/>
  <c r="BC442" i="1"/>
  <c r="AZ442" i="1"/>
  <c r="AY442" i="1"/>
  <c r="AV442" i="1"/>
  <c r="AU442" i="1"/>
  <c r="AR442" i="1"/>
  <c r="AQ442" i="1"/>
  <c r="AN442" i="1"/>
  <c r="AM442" i="1"/>
  <c r="AJ442" i="1"/>
  <c r="AI442" i="1"/>
  <c r="AF442" i="1"/>
  <c r="AE442" i="1"/>
  <c r="AB442" i="1"/>
  <c r="AA442" i="1"/>
  <c r="X442" i="1"/>
  <c r="W442" i="1"/>
  <c r="T442" i="1"/>
  <c r="S442" i="1"/>
  <c r="P442" i="1"/>
  <c r="L442" i="1"/>
  <c r="K442" i="1"/>
  <c r="H442" i="1"/>
  <c r="G442" i="1"/>
  <c r="D442" i="1"/>
  <c r="C442" i="1"/>
  <c r="CJ441" i="1"/>
  <c r="CI441" i="1"/>
  <c r="CF441" i="1"/>
  <c r="CE441" i="1"/>
  <c r="CB441" i="1"/>
  <c r="CA441" i="1"/>
  <c r="BX441" i="1"/>
  <c r="BW441" i="1"/>
  <c r="BT441" i="1"/>
  <c r="BS441" i="1"/>
  <c r="BP441" i="1"/>
  <c r="BO441" i="1"/>
  <c r="BL441" i="1"/>
  <c r="BK441" i="1"/>
  <c r="BH441" i="1"/>
  <c r="BG441" i="1"/>
  <c r="BD441" i="1"/>
  <c r="BC441" i="1"/>
  <c r="AZ441" i="1"/>
  <c r="AY441" i="1"/>
  <c r="AV441" i="1"/>
  <c r="AU441" i="1"/>
  <c r="AR441" i="1"/>
  <c r="AQ441" i="1"/>
  <c r="AN441" i="1"/>
  <c r="AM441" i="1"/>
  <c r="AJ441" i="1"/>
  <c r="AI441" i="1"/>
  <c r="AF441" i="1"/>
  <c r="AE441" i="1"/>
  <c r="AB441" i="1"/>
  <c r="AA441" i="1"/>
  <c r="X441" i="1"/>
  <c r="W441" i="1"/>
  <c r="T441" i="1"/>
  <c r="S441" i="1"/>
  <c r="P441" i="1"/>
  <c r="L441" i="1"/>
  <c r="K441" i="1"/>
  <c r="H441" i="1"/>
  <c r="G441" i="1"/>
  <c r="D441" i="1"/>
  <c r="C441" i="1"/>
  <c r="CJ434" i="1"/>
  <c r="CI434" i="1"/>
  <c r="CF434" i="1"/>
  <c r="CE434" i="1"/>
  <c r="CB434" i="1"/>
  <c r="CA434" i="1"/>
  <c r="BX434" i="1"/>
  <c r="BW434" i="1"/>
  <c r="BT434" i="1"/>
  <c r="BS434" i="1"/>
  <c r="BP434" i="1"/>
  <c r="BO434" i="1"/>
  <c r="BL434" i="1"/>
  <c r="BK434" i="1"/>
  <c r="BH434" i="1"/>
  <c r="BG434" i="1"/>
  <c r="BD434" i="1"/>
  <c r="BC434" i="1"/>
  <c r="AZ434" i="1"/>
  <c r="AY434" i="1"/>
  <c r="AV434" i="1"/>
  <c r="AU434" i="1"/>
  <c r="AR434" i="1"/>
  <c r="AQ434" i="1"/>
  <c r="AN434" i="1"/>
  <c r="AM434" i="1"/>
  <c r="AJ434" i="1"/>
  <c r="AI434" i="1"/>
  <c r="AF434" i="1"/>
  <c r="AE434" i="1"/>
  <c r="AB434" i="1"/>
  <c r="AA434" i="1"/>
  <c r="X434" i="1"/>
  <c r="W434" i="1"/>
  <c r="T434" i="1"/>
  <c r="S434" i="1"/>
  <c r="P434" i="1"/>
  <c r="O434" i="1"/>
  <c r="L434" i="1"/>
  <c r="K434" i="1"/>
  <c r="H434" i="1"/>
  <c r="G434" i="1"/>
  <c r="D434" i="1"/>
  <c r="C434" i="1"/>
  <c r="CJ433" i="1"/>
  <c r="CI433" i="1"/>
  <c r="CF433" i="1"/>
  <c r="CE433" i="1"/>
  <c r="CB433" i="1"/>
  <c r="CA433" i="1"/>
  <c r="BX433" i="1"/>
  <c r="BW433" i="1"/>
  <c r="BT433" i="1"/>
  <c r="BS433" i="1"/>
  <c r="BP433" i="1"/>
  <c r="BO433" i="1"/>
  <c r="BL433" i="1"/>
  <c r="BK433" i="1"/>
  <c r="BH433" i="1"/>
  <c r="BG433" i="1"/>
  <c r="BD433" i="1"/>
  <c r="BC433" i="1"/>
  <c r="AZ433" i="1"/>
  <c r="AY433" i="1"/>
  <c r="AV433" i="1"/>
  <c r="AU433" i="1"/>
  <c r="AR433" i="1"/>
  <c r="AQ433" i="1"/>
  <c r="AN433" i="1"/>
  <c r="AM433" i="1"/>
  <c r="AJ433" i="1"/>
  <c r="AI433" i="1"/>
  <c r="AF433" i="1"/>
  <c r="AE433" i="1"/>
  <c r="AB433" i="1"/>
  <c r="AA433" i="1"/>
  <c r="X433" i="1"/>
  <c r="W433" i="1"/>
  <c r="T433" i="1"/>
  <c r="S433" i="1"/>
  <c r="P433" i="1"/>
  <c r="O433" i="1"/>
  <c r="L433" i="1"/>
  <c r="K433" i="1"/>
  <c r="H433" i="1"/>
  <c r="G433" i="1"/>
  <c r="D433" i="1"/>
  <c r="C433" i="1"/>
  <c r="CJ432" i="1"/>
  <c r="CI432" i="1"/>
  <c r="CF432" i="1"/>
  <c r="CE432" i="1"/>
  <c r="CB432" i="1"/>
  <c r="CA432" i="1"/>
  <c r="BX432" i="1"/>
  <c r="BW432" i="1"/>
  <c r="BT432" i="1"/>
  <c r="BS432" i="1"/>
  <c r="BP432" i="1"/>
  <c r="BO432" i="1"/>
  <c r="BL432" i="1"/>
  <c r="BK432" i="1"/>
  <c r="BH432" i="1"/>
  <c r="BG432" i="1"/>
  <c r="BD432" i="1"/>
  <c r="BC432" i="1"/>
  <c r="AZ432" i="1"/>
  <c r="AY432" i="1"/>
  <c r="AV432" i="1"/>
  <c r="AU432" i="1"/>
  <c r="AR432" i="1"/>
  <c r="AQ432" i="1"/>
  <c r="AN432" i="1"/>
  <c r="AM432" i="1"/>
  <c r="AJ432" i="1"/>
  <c r="AI432" i="1"/>
  <c r="AF432" i="1"/>
  <c r="AE432" i="1"/>
  <c r="AB432" i="1"/>
  <c r="AA432" i="1"/>
  <c r="X432" i="1"/>
  <c r="W432" i="1"/>
  <c r="T432" i="1"/>
  <c r="S432" i="1"/>
  <c r="P432" i="1"/>
  <c r="O432" i="1"/>
  <c r="L432" i="1"/>
  <c r="K432" i="1"/>
  <c r="H432" i="1"/>
  <c r="G432" i="1"/>
  <c r="D432" i="1"/>
  <c r="C432" i="1"/>
  <c r="CJ431" i="1"/>
  <c r="CI431" i="1"/>
  <c r="CF431" i="1"/>
  <c r="CE431" i="1"/>
  <c r="CB431" i="1"/>
  <c r="CA431" i="1"/>
  <c r="BX431" i="1"/>
  <c r="BW431" i="1"/>
  <c r="BT431" i="1"/>
  <c r="BS431" i="1"/>
  <c r="BP431" i="1"/>
  <c r="BO431" i="1"/>
  <c r="BL431" i="1"/>
  <c r="BK431" i="1"/>
  <c r="BH431" i="1"/>
  <c r="BG431" i="1"/>
  <c r="BD431" i="1"/>
  <c r="BC431" i="1"/>
  <c r="AZ431" i="1"/>
  <c r="AY431" i="1"/>
  <c r="AV431" i="1"/>
  <c r="AU431" i="1"/>
  <c r="AR431" i="1"/>
  <c r="AQ431" i="1"/>
  <c r="AN431" i="1"/>
  <c r="AM431" i="1"/>
  <c r="AJ431" i="1"/>
  <c r="AI431" i="1"/>
  <c r="AF431" i="1"/>
  <c r="AE431" i="1"/>
  <c r="AB431" i="1"/>
  <c r="AA431" i="1"/>
  <c r="X431" i="1"/>
  <c r="W431" i="1"/>
  <c r="T431" i="1"/>
  <c r="S431" i="1"/>
  <c r="P431" i="1"/>
  <c r="O431" i="1"/>
  <c r="L431" i="1"/>
  <c r="K431" i="1"/>
  <c r="H431" i="1"/>
  <c r="G431" i="1"/>
  <c r="D431" i="1"/>
  <c r="C431" i="1"/>
  <c r="CJ430" i="1"/>
  <c r="CI430" i="1"/>
  <c r="CF430" i="1"/>
  <c r="CE430" i="1"/>
  <c r="CB430" i="1"/>
  <c r="CA430" i="1"/>
  <c r="BX430" i="1"/>
  <c r="BW430" i="1"/>
  <c r="BT430" i="1"/>
  <c r="BS430" i="1"/>
  <c r="BP430" i="1"/>
  <c r="BO430" i="1"/>
  <c r="BL430" i="1"/>
  <c r="BK430" i="1"/>
  <c r="BH430" i="1"/>
  <c r="BG430" i="1"/>
  <c r="BD430" i="1"/>
  <c r="BC430" i="1"/>
  <c r="AZ430" i="1"/>
  <c r="AY430" i="1"/>
  <c r="AV430" i="1"/>
  <c r="AU430" i="1"/>
  <c r="AR430" i="1"/>
  <c r="AQ430" i="1"/>
  <c r="AN430" i="1"/>
  <c r="AM430" i="1"/>
  <c r="AJ430" i="1"/>
  <c r="AI430" i="1"/>
  <c r="AF430" i="1"/>
  <c r="AE430" i="1"/>
  <c r="AB430" i="1"/>
  <c r="AA430" i="1"/>
  <c r="X430" i="1"/>
  <c r="W430" i="1"/>
  <c r="T430" i="1"/>
  <c r="S430" i="1"/>
  <c r="P430" i="1"/>
  <c r="O430" i="1"/>
  <c r="L430" i="1"/>
  <c r="K430" i="1"/>
  <c r="H430" i="1"/>
  <c r="G430" i="1"/>
  <c r="D430" i="1"/>
  <c r="C430" i="1"/>
  <c r="CJ429" i="1"/>
  <c r="CI429" i="1"/>
  <c r="CF429" i="1"/>
  <c r="CE429" i="1"/>
  <c r="CB429" i="1"/>
  <c r="CA429" i="1"/>
  <c r="BX429" i="1"/>
  <c r="BW429" i="1"/>
  <c r="BT429" i="1"/>
  <c r="BS429" i="1"/>
  <c r="BP429" i="1"/>
  <c r="BO429" i="1"/>
  <c r="BL429" i="1"/>
  <c r="BK429" i="1"/>
  <c r="BH429" i="1"/>
  <c r="BG429" i="1"/>
  <c r="BD429" i="1"/>
  <c r="BC429" i="1"/>
  <c r="AZ429" i="1"/>
  <c r="AY429" i="1"/>
  <c r="AV429" i="1"/>
  <c r="AU429" i="1"/>
  <c r="AR429" i="1"/>
  <c r="AQ429" i="1"/>
  <c r="AN429" i="1"/>
  <c r="AM429" i="1"/>
  <c r="AJ429" i="1"/>
  <c r="AI429" i="1"/>
  <c r="AF429" i="1"/>
  <c r="AE429" i="1"/>
  <c r="AB429" i="1"/>
  <c r="AA429" i="1"/>
  <c r="X429" i="1"/>
  <c r="W429" i="1"/>
  <c r="T429" i="1"/>
  <c r="S429" i="1"/>
  <c r="P429" i="1"/>
  <c r="O429" i="1"/>
  <c r="L429" i="1"/>
  <c r="K429" i="1"/>
  <c r="H429" i="1"/>
  <c r="G429" i="1"/>
  <c r="D429" i="1"/>
  <c r="C429" i="1"/>
  <c r="A428" i="1"/>
  <c r="CJ422" i="1"/>
  <c r="CI422" i="1"/>
  <c r="CF422" i="1"/>
  <c r="CE422" i="1"/>
  <c r="CB422" i="1"/>
  <c r="CA422" i="1"/>
  <c r="BX422" i="1"/>
  <c r="BW422" i="1"/>
  <c r="BT422" i="1"/>
  <c r="BS422" i="1"/>
  <c r="BP422" i="1"/>
  <c r="BO422" i="1"/>
  <c r="BL422" i="1"/>
  <c r="BK422" i="1"/>
  <c r="BH422" i="1"/>
  <c r="BG422" i="1"/>
  <c r="BD422" i="1"/>
  <c r="BC422" i="1"/>
  <c r="AZ422" i="1"/>
  <c r="AY422" i="1"/>
  <c r="AV422" i="1"/>
  <c r="AU422" i="1"/>
  <c r="AR422" i="1"/>
  <c r="AQ422" i="1"/>
  <c r="AN422" i="1"/>
  <c r="AM422" i="1"/>
  <c r="AJ422" i="1"/>
  <c r="AI422" i="1"/>
  <c r="AF422" i="1"/>
  <c r="AE422" i="1"/>
  <c r="AB422" i="1"/>
  <c r="AA422" i="1"/>
  <c r="X422" i="1"/>
  <c r="W422" i="1"/>
  <c r="T422" i="1"/>
  <c r="S422" i="1"/>
  <c r="P422" i="1"/>
  <c r="O422" i="1"/>
  <c r="L422" i="1"/>
  <c r="K422" i="1"/>
  <c r="H422" i="1"/>
  <c r="G422" i="1"/>
  <c r="D422" i="1"/>
  <c r="C422" i="1"/>
  <c r="CJ421" i="1"/>
  <c r="CI421" i="1"/>
  <c r="CF421" i="1"/>
  <c r="CE421" i="1"/>
  <c r="CB421" i="1"/>
  <c r="CA421" i="1"/>
  <c r="BX421" i="1"/>
  <c r="BW421" i="1"/>
  <c r="BT421" i="1"/>
  <c r="BS421" i="1"/>
  <c r="BP421" i="1"/>
  <c r="BO421" i="1"/>
  <c r="BL421" i="1"/>
  <c r="BK421" i="1"/>
  <c r="BH421" i="1"/>
  <c r="BG421" i="1"/>
  <c r="BD421" i="1"/>
  <c r="BC421" i="1"/>
  <c r="AZ421" i="1"/>
  <c r="AY421" i="1"/>
  <c r="AV421" i="1"/>
  <c r="AU421" i="1"/>
  <c r="AR421" i="1"/>
  <c r="AQ421" i="1"/>
  <c r="AN421" i="1"/>
  <c r="AM421" i="1"/>
  <c r="AJ421" i="1"/>
  <c r="AI421" i="1"/>
  <c r="AF421" i="1"/>
  <c r="AE421" i="1"/>
  <c r="AB421" i="1"/>
  <c r="AA421" i="1"/>
  <c r="X421" i="1"/>
  <c r="W421" i="1"/>
  <c r="T421" i="1"/>
  <c r="S421" i="1"/>
  <c r="P421" i="1"/>
  <c r="O421" i="1"/>
  <c r="L421" i="1"/>
  <c r="K421" i="1"/>
  <c r="H421" i="1"/>
  <c r="G421" i="1"/>
  <c r="D421" i="1"/>
  <c r="C421" i="1"/>
  <c r="CJ420" i="1"/>
  <c r="CI420" i="1"/>
  <c r="CF420" i="1"/>
  <c r="CE420" i="1"/>
  <c r="CB420" i="1"/>
  <c r="CA420" i="1"/>
  <c r="BX420" i="1"/>
  <c r="BW420" i="1"/>
  <c r="BT420" i="1"/>
  <c r="BS420" i="1"/>
  <c r="BP420" i="1"/>
  <c r="BO420" i="1"/>
  <c r="BL420" i="1"/>
  <c r="BK420" i="1"/>
  <c r="BH420" i="1"/>
  <c r="BG420" i="1"/>
  <c r="BD420" i="1"/>
  <c r="BC420" i="1"/>
  <c r="AZ420" i="1"/>
  <c r="AY420" i="1"/>
  <c r="AV420" i="1"/>
  <c r="AU420" i="1"/>
  <c r="AR420" i="1"/>
  <c r="AQ420" i="1"/>
  <c r="AN420" i="1"/>
  <c r="AM420" i="1"/>
  <c r="AJ420" i="1"/>
  <c r="AI420" i="1"/>
  <c r="AF420" i="1"/>
  <c r="AE420" i="1"/>
  <c r="AB420" i="1"/>
  <c r="AA420" i="1"/>
  <c r="X420" i="1"/>
  <c r="W420" i="1"/>
  <c r="T420" i="1"/>
  <c r="S420" i="1"/>
  <c r="P420" i="1"/>
  <c r="O420" i="1"/>
  <c r="L420" i="1"/>
  <c r="K420" i="1"/>
  <c r="H420" i="1"/>
  <c r="G420" i="1"/>
  <c r="D420" i="1"/>
  <c r="C420" i="1"/>
  <c r="CJ413" i="1"/>
  <c r="CI413" i="1"/>
  <c r="CF413" i="1"/>
  <c r="CE413" i="1"/>
  <c r="CB413" i="1"/>
  <c r="CA413" i="1"/>
  <c r="BX413" i="1"/>
  <c r="BW413" i="1"/>
  <c r="BT413" i="1"/>
  <c r="BS413" i="1"/>
  <c r="BP413" i="1"/>
  <c r="BO413" i="1"/>
  <c r="BL413" i="1"/>
  <c r="BK413" i="1"/>
  <c r="BH413" i="1"/>
  <c r="BG413" i="1"/>
  <c r="BD413" i="1"/>
  <c r="BC413" i="1"/>
  <c r="AZ413" i="1"/>
  <c r="AY413" i="1"/>
  <c r="AV413" i="1"/>
  <c r="AU413" i="1"/>
  <c r="AR413" i="1"/>
  <c r="AQ413" i="1"/>
  <c r="AN413" i="1"/>
  <c r="AM413" i="1"/>
  <c r="AJ413" i="1"/>
  <c r="AI413" i="1"/>
  <c r="AF413" i="1"/>
  <c r="AE413" i="1"/>
  <c r="AB413" i="1"/>
  <c r="AA413" i="1"/>
  <c r="X413" i="1"/>
  <c r="W413" i="1"/>
  <c r="T413" i="1"/>
  <c r="S413" i="1"/>
  <c r="P413" i="1"/>
  <c r="L413" i="1"/>
  <c r="K413" i="1"/>
  <c r="H413" i="1"/>
  <c r="G413" i="1"/>
  <c r="D413" i="1"/>
  <c r="C413" i="1"/>
  <c r="CJ412" i="1"/>
  <c r="CI412" i="1"/>
  <c r="CF412" i="1"/>
  <c r="CE412" i="1"/>
  <c r="CB412" i="1"/>
  <c r="CA412" i="1"/>
  <c r="BX412" i="1"/>
  <c r="BW412" i="1"/>
  <c r="BT412" i="1"/>
  <c r="BS412" i="1"/>
  <c r="BP412" i="1"/>
  <c r="BO412" i="1"/>
  <c r="BL412" i="1"/>
  <c r="BK412" i="1"/>
  <c r="BH412" i="1"/>
  <c r="BG412" i="1"/>
  <c r="BD412" i="1"/>
  <c r="BC412" i="1"/>
  <c r="AZ412" i="1"/>
  <c r="AY412" i="1"/>
  <c r="AV412" i="1"/>
  <c r="AU412" i="1"/>
  <c r="AR412" i="1"/>
  <c r="AQ412" i="1"/>
  <c r="AN412" i="1"/>
  <c r="AM412" i="1"/>
  <c r="AJ412" i="1"/>
  <c r="AI412" i="1"/>
  <c r="AF412" i="1"/>
  <c r="AE412" i="1"/>
  <c r="AB412" i="1"/>
  <c r="AA412" i="1"/>
  <c r="X412" i="1"/>
  <c r="W412" i="1"/>
  <c r="T412" i="1"/>
  <c r="S412" i="1"/>
  <c r="P412" i="1"/>
  <c r="L412" i="1"/>
  <c r="K412" i="1"/>
  <c r="H412" i="1"/>
  <c r="G412" i="1"/>
  <c r="D412" i="1"/>
  <c r="C412" i="1"/>
  <c r="CJ411" i="1"/>
  <c r="CI411" i="1"/>
  <c r="CF411" i="1"/>
  <c r="CE411" i="1"/>
  <c r="CB411" i="1"/>
  <c r="CA411" i="1"/>
  <c r="BX411" i="1"/>
  <c r="BW411" i="1"/>
  <c r="BT411" i="1"/>
  <c r="BS411" i="1"/>
  <c r="BP411" i="1"/>
  <c r="BO411" i="1"/>
  <c r="BL411" i="1"/>
  <c r="BK411" i="1"/>
  <c r="BH411" i="1"/>
  <c r="BG411" i="1"/>
  <c r="BD411" i="1"/>
  <c r="BC411" i="1"/>
  <c r="AZ411" i="1"/>
  <c r="AY411" i="1"/>
  <c r="AV411" i="1"/>
  <c r="AU411" i="1"/>
  <c r="AR411" i="1"/>
  <c r="AQ411" i="1"/>
  <c r="AN411" i="1"/>
  <c r="AM411" i="1"/>
  <c r="AJ411" i="1"/>
  <c r="AI411" i="1"/>
  <c r="AF411" i="1"/>
  <c r="AE411" i="1"/>
  <c r="AB411" i="1"/>
  <c r="AA411" i="1"/>
  <c r="X411" i="1"/>
  <c r="W411" i="1"/>
  <c r="T411" i="1"/>
  <c r="S411" i="1"/>
  <c r="P411" i="1"/>
  <c r="L411" i="1"/>
  <c r="K411" i="1"/>
  <c r="H411" i="1"/>
  <c r="G411" i="1"/>
  <c r="D411" i="1"/>
  <c r="C411" i="1"/>
  <c r="CJ410" i="1"/>
  <c r="CI410" i="1"/>
  <c r="CF410" i="1"/>
  <c r="CE410" i="1"/>
  <c r="CB410" i="1"/>
  <c r="CA410" i="1"/>
  <c r="BX410" i="1"/>
  <c r="BW410" i="1"/>
  <c r="BT410" i="1"/>
  <c r="BS410" i="1"/>
  <c r="BP410" i="1"/>
  <c r="BO410" i="1"/>
  <c r="BL410" i="1"/>
  <c r="BK410" i="1"/>
  <c r="BH410" i="1"/>
  <c r="BG410" i="1"/>
  <c r="BD410" i="1"/>
  <c r="BC410" i="1"/>
  <c r="AZ410" i="1"/>
  <c r="AY410" i="1"/>
  <c r="AV410" i="1"/>
  <c r="AU410" i="1"/>
  <c r="AR410" i="1"/>
  <c r="AQ410" i="1"/>
  <c r="AN410" i="1"/>
  <c r="AM410" i="1"/>
  <c r="AJ410" i="1"/>
  <c r="AI410" i="1"/>
  <c r="AF410" i="1"/>
  <c r="AE410" i="1"/>
  <c r="AB410" i="1"/>
  <c r="AA410" i="1"/>
  <c r="X410" i="1"/>
  <c r="W410" i="1"/>
  <c r="T410" i="1"/>
  <c r="S410" i="1"/>
  <c r="P410" i="1"/>
  <c r="L410" i="1"/>
  <c r="K410" i="1"/>
  <c r="H410" i="1"/>
  <c r="G410" i="1"/>
  <c r="D410" i="1"/>
  <c r="C410" i="1"/>
  <c r="CJ403" i="1"/>
  <c r="CI403" i="1"/>
  <c r="CF403" i="1"/>
  <c r="CE403" i="1"/>
  <c r="CB403" i="1"/>
  <c r="CA403" i="1"/>
  <c r="BX403" i="1"/>
  <c r="BW403" i="1"/>
  <c r="BT403" i="1"/>
  <c r="BS403" i="1"/>
  <c r="BP403" i="1"/>
  <c r="BO403" i="1"/>
  <c r="BL403" i="1"/>
  <c r="BK403" i="1"/>
  <c r="BH403" i="1"/>
  <c r="BG403" i="1"/>
  <c r="BD403" i="1"/>
  <c r="BC403" i="1"/>
  <c r="AZ403" i="1"/>
  <c r="AY403" i="1"/>
  <c r="AV403" i="1"/>
  <c r="AU403" i="1"/>
  <c r="AR403" i="1"/>
  <c r="AQ403" i="1"/>
  <c r="AN403" i="1"/>
  <c r="AM403" i="1"/>
  <c r="AJ403" i="1"/>
  <c r="AI403" i="1"/>
  <c r="AF403" i="1"/>
  <c r="AE403" i="1"/>
  <c r="AB403" i="1"/>
  <c r="AA403" i="1"/>
  <c r="X403" i="1"/>
  <c r="W403" i="1"/>
  <c r="T403" i="1"/>
  <c r="S403" i="1"/>
  <c r="P403" i="1"/>
  <c r="O403" i="1"/>
  <c r="L403" i="1"/>
  <c r="K403" i="1"/>
  <c r="H403" i="1"/>
  <c r="G403" i="1"/>
  <c r="D403" i="1"/>
  <c r="C403" i="1"/>
  <c r="CJ402" i="1"/>
  <c r="CI402" i="1"/>
  <c r="CF402" i="1"/>
  <c r="CE402" i="1"/>
  <c r="CB402" i="1"/>
  <c r="CA402" i="1"/>
  <c r="BX402" i="1"/>
  <c r="BW402" i="1"/>
  <c r="BT402" i="1"/>
  <c r="BS402" i="1"/>
  <c r="BP402" i="1"/>
  <c r="BO402" i="1"/>
  <c r="BL402" i="1"/>
  <c r="BK402" i="1"/>
  <c r="BH402" i="1"/>
  <c r="BG402" i="1"/>
  <c r="BD402" i="1"/>
  <c r="BC402" i="1"/>
  <c r="AZ402" i="1"/>
  <c r="AY402" i="1"/>
  <c r="AV402" i="1"/>
  <c r="AU402" i="1"/>
  <c r="AR402" i="1"/>
  <c r="AQ402" i="1"/>
  <c r="AN402" i="1"/>
  <c r="AM402" i="1"/>
  <c r="AJ402" i="1"/>
  <c r="AI402" i="1"/>
  <c r="AF402" i="1"/>
  <c r="AE402" i="1"/>
  <c r="AB402" i="1"/>
  <c r="AA402" i="1"/>
  <c r="X402" i="1"/>
  <c r="W402" i="1"/>
  <c r="T402" i="1"/>
  <c r="S402" i="1"/>
  <c r="P402" i="1"/>
  <c r="O402" i="1"/>
  <c r="L402" i="1"/>
  <c r="K402" i="1"/>
  <c r="H402" i="1"/>
  <c r="G402" i="1"/>
  <c r="D402" i="1"/>
  <c r="C402" i="1"/>
  <c r="CJ401" i="1"/>
  <c r="CI401" i="1"/>
  <c r="CF401" i="1"/>
  <c r="CE401" i="1"/>
  <c r="CB401" i="1"/>
  <c r="CA401" i="1"/>
  <c r="BX401" i="1"/>
  <c r="BW401" i="1"/>
  <c r="BT401" i="1"/>
  <c r="BS401" i="1"/>
  <c r="BP401" i="1"/>
  <c r="BO401" i="1"/>
  <c r="BL401" i="1"/>
  <c r="BK401" i="1"/>
  <c r="BH401" i="1"/>
  <c r="BG401" i="1"/>
  <c r="BD401" i="1"/>
  <c r="BC401" i="1"/>
  <c r="AZ401" i="1"/>
  <c r="AY401" i="1"/>
  <c r="AV401" i="1"/>
  <c r="AU401" i="1"/>
  <c r="AR401" i="1"/>
  <c r="AQ401" i="1"/>
  <c r="AN401" i="1"/>
  <c r="AM401" i="1"/>
  <c r="AJ401" i="1"/>
  <c r="AI401" i="1"/>
  <c r="AF401" i="1"/>
  <c r="AE401" i="1"/>
  <c r="AB401" i="1"/>
  <c r="AA401" i="1"/>
  <c r="X401" i="1"/>
  <c r="W401" i="1"/>
  <c r="T401" i="1"/>
  <c r="S401" i="1"/>
  <c r="P401" i="1"/>
  <c r="O401" i="1"/>
  <c r="L401" i="1"/>
  <c r="K401" i="1"/>
  <c r="H401" i="1"/>
  <c r="G401" i="1"/>
  <c r="D401" i="1"/>
  <c r="C401" i="1"/>
  <c r="CJ400" i="1"/>
  <c r="CI400" i="1"/>
  <c r="CF400" i="1"/>
  <c r="CE400" i="1"/>
  <c r="CB400" i="1"/>
  <c r="CA400" i="1"/>
  <c r="BX400" i="1"/>
  <c r="BW400" i="1"/>
  <c r="BT400" i="1"/>
  <c r="BS400" i="1"/>
  <c r="BP400" i="1"/>
  <c r="BO400" i="1"/>
  <c r="BL400" i="1"/>
  <c r="BK400" i="1"/>
  <c r="BH400" i="1"/>
  <c r="BG400" i="1"/>
  <c r="BD400" i="1"/>
  <c r="BC400" i="1"/>
  <c r="AZ400" i="1"/>
  <c r="AY400" i="1"/>
  <c r="AV400" i="1"/>
  <c r="AU400" i="1"/>
  <c r="AR400" i="1"/>
  <c r="AQ400" i="1"/>
  <c r="AN400" i="1"/>
  <c r="AM400" i="1"/>
  <c r="AJ400" i="1"/>
  <c r="AI400" i="1"/>
  <c r="AF400" i="1"/>
  <c r="AE400" i="1"/>
  <c r="AB400" i="1"/>
  <c r="AA400" i="1"/>
  <c r="X400" i="1"/>
  <c r="W400" i="1"/>
  <c r="T400" i="1"/>
  <c r="S400" i="1"/>
  <c r="P400" i="1"/>
  <c r="O400" i="1"/>
  <c r="L400" i="1"/>
  <c r="K400" i="1"/>
  <c r="H400" i="1"/>
  <c r="G400" i="1"/>
  <c r="D400" i="1"/>
  <c r="C400" i="1"/>
  <c r="CJ399" i="1"/>
  <c r="CI399" i="1"/>
  <c r="CF399" i="1"/>
  <c r="CE399" i="1"/>
  <c r="CB399" i="1"/>
  <c r="CA399" i="1"/>
  <c r="BX399" i="1"/>
  <c r="BW399" i="1"/>
  <c r="BT399" i="1"/>
  <c r="BS399" i="1"/>
  <c r="BP399" i="1"/>
  <c r="BO399" i="1"/>
  <c r="BL399" i="1"/>
  <c r="BK399" i="1"/>
  <c r="BH399" i="1"/>
  <c r="BG399" i="1"/>
  <c r="BD399" i="1"/>
  <c r="BC399" i="1"/>
  <c r="AZ399" i="1"/>
  <c r="AY399" i="1"/>
  <c r="AV399" i="1"/>
  <c r="AU399" i="1"/>
  <c r="AR399" i="1"/>
  <c r="AQ399" i="1"/>
  <c r="AN399" i="1"/>
  <c r="AM399" i="1"/>
  <c r="AJ399" i="1"/>
  <c r="AI399" i="1"/>
  <c r="AF399" i="1"/>
  <c r="AE399" i="1"/>
  <c r="AB399" i="1"/>
  <c r="AA399" i="1"/>
  <c r="X399" i="1"/>
  <c r="W399" i="1"/>
  <c r="T399" i="1"/>
  <c r="S399" i="1"/>
  <c r="P399" i="1"/>
  <c r="O399" i="1"/>
  <c r="L399" i="1"/>
  <c r="K399" i="1"/>
  <c r="H399" i="1"/>
  <c r="G399" i="1"/>
  <c r="D399" i="1"/>
  <c r="C399" i="1"/>
  <c r="CJ398" i="1"/>
  <c r="CI398" i="1"/>
  <c r="CF398" i="1"/>
  <c r="CE398" i="1"/>
  <c r="CB398" i="1"/>
  <c r="CA398" i="1"/>
  <c r="BX398" i="1"/>
  <c r="BW398" i="1"/>
  <c r="BT398" i="1"/>
  <c r="BS398" i="1"/>
  <c r="BP398" i="1"/>
  <c r="BO398" i="1"/>
  <c r="BL398" i="1"/>
  <c r="BK398" i="1"/>
  <c r="BH398" i="1"/>
  <c r="BG398" i="1"/>
  <c r="BD398" i="1"/>
  <c r="BC398" i="1"/>
  <c r="AZ398" i="1"/>
  <c r="AY398" i="1"/>
  <c r="AV398" i="1"/>
  <c r="AU398" i="1"/>
  <c r="AR398" i="1"/>
  <c r="AQ398" i="1"/>
  <c r="AN398" i="1"/>
  <c r="AM398" i="1"/>
  <c r="AJ398" i="1"/>
  <c r="AI398" i="1"/>
  <c r="AF398" i="1"/>
  <c r="AE398" i="1"/>
  <c r="AB398" i="1"/>
  <c r="AA398" i="1"/>
  <c r="X398" i="1"/>
  <c r="W398" i="1"/>
  <c r="T398" i="1"/>
  <c r="S398" i="1"/>
  <c r="P398" i="1"/>
  <c r="O398" i="1"/>
  <c r="L398" i="1"/>
  <c r="K398" i="1"/>
  <c r="H398" i="1"/>
  <c r="G398" i="1"/>
  <c r="D398" i="1"/>
  <c r="C398" i="1"/>
  <c r="A397" i="1"/>
  <c r="CJ391" i="1"/>
  <c r="CI391" i="1"/>
  <c r="CF391" i="1"/>
  <c r="CE391" i="1"/>
  <c r="CB391" i="1"/>
  <c r="CA391" i="1"/>
  <c r="BX391" i="1"/>
  <c r="BW391" i="1"/>
  <c r="BT391" i="1"/>
  <c r="BS391" i="1"/>
  <c r="BP391" i="1"/>
  <c r="BO391" i="1"/>
  <c r="BL391" i="1"/>
  <c r="BK391" i="1"/>
  <c r="BH391" i="1"/>
  <c r="BG391" i="1"/>
  <c r="BD391" i="1"/>
  <c r="BC391" i="1"/>
  <c r="AZ391" i="1"/>
  <c r="AY391" i="1"/>
  <c r="AV391" i="1"/>
  <c r="AU391" i="1"/>
  <c r="AR391" i="1"/>
  <c r="AQ391" i="1"/>
  <c r="AN391" i="1"/>
  <c r="AM391" i="1"/>
  <c r="AJ391" i="1"/>
  <c r="AI391" i="1"/>
  <c r="AF391" i="1"/>
  <c r="AE391" i="1"/>
  <c r="AB391" i="1"/>
  <c r="AA391" i="1"/>
  <c r="X391" i="1"/>
  <c r="W391" i="1"/>
  <c r="T391" i="1"/>
  <c r="S391" i="1"/>
  <c r="P391" i="1"/>
  <c r="O391" i="1"/>
  <c r="L391" i="1"/>
  <c r="K391" i="1"/>
  <c r="H391" i="1"/>
  <c r="G391" i="1"/>
  <c r="D391" i="1"/>
  <c r="C391" i="1"/>
  <c r="CJ390" i="1"/>
  <c r="CI390" i="1"/>
  <c r="CF390" i="1"/>
  <c r="CE390" i="1"/>
  <c r="CB390" i="1"/>
  <c r="CA390" i="1"/>
  <c r="BX390" i="1"/>
  <c r="BW390" i="1"/>
  <c r="BT390" i="1"/>
  <c r="BS390" i="1"/>
  <c r="BP390" i="1"/>
  <c r="BO390" i="1"/>
  <c r="BL390" i="1"/>
  <c r="BK390" i="1"/>
  <c r="BH390" i="1"/>
  <c r="BG390" i="1"/>
  <c r="BD390" i="1"/>
  <c r="BC390" i="1"/>
  <c r="AZ390" i="1"/>
  <c r="AY390" i="1"/>
  <c r="AV390" i="1"/>
  <c r="AU390" i="1"/>
  <c r="AR390" i="1"/>
  <c r="AQ390" i="1"/>
  <c r="AN390" i="1"/>
  <c r="AM390" i="1"/>
  <c r="AJ390" i="1"/>
  <c r="AI390" i="1"/>
  <c r="AF390" i="1"/>
  <c r="AE390" i="1"/>
  <c r="AB390" i="1"/>
  <c r="AA390" i="1"/>
  <c r="X390" i="1"/>
  <c r="W390" i="1"/>
  <c r="T390" i="1"/>
  <c r="S390" i="1"/>
  <c r="P390" i="1"/>
  <c r="O390" i="1"/>
  <c r="L390" i="1"/>
  <c r="K390" i="1"/>
  <c r="H390" i="1"/>
  <c r="G390" i="1"/>
  <c r="D390" i="1"/>
  <c r="C390" i="1"/>
  <c r="CJ389" i="1"/>
  <c r="CI389" i="1"/>
  <c r="CF389" i="1"/>
  <c r="CE389" i="1"/>
  <c r="CB389" i="1"/>
  <c r="CA389" i="1"/>
  <c r="BX389" i="1"/>
  <c r="BW389" i="1"/>
  <c r="BT389" i="1"/>
  <c r="BS389" i="1"/>
  <c r="BP389" i="1"/>
  <c r="BO389" i="1"/>
  <c r="BL389" i="1"/>
  <c r="BK389" i="1"/>
  <c r="BH389" i="1"/>
  <c r="BG389" i="1"/>
  <c r="BD389" i="1"/>
  <c r="BC389" i="1"/>
  <c r="AZ389" i="1"/>
  <c r="AY389" i="1"/>
  <c r="AV389" i="1"/>
  <c r="AU389" i="1"/>
  <c r="AR389" i="1"/>
  <c r="AQ389" i="1"/>
  <c r="AN389" i="1"/>
  <c r="AM389" i="1"/>
  <c r="AJ389" i="1"/>
  <c r="AI389" i="1"/>
  <c r="AF389" i="1"/>
  <c r="AE389" i="1"/>
  <c r="AB389" i="1"/>
  <c r="AA389" i="1"/>
  <c r="X389" i="1"/>
  <c r="W389" i="1"/>
  <c r="T389" i="1"/>
  <c r="S389" i="1"/>
  <c r="P389" i="1"/>
  <c r="O389" i="1"/>
  <c r="L389" i="1"/>
  <c r="K389" i="1"/>
  <c r="H389" i="1"/>
  <c r="G389" i="1"/>
  <c r="D389" i="1"/>
  <c r="C389" i="1"/>
  <c r="CJ382" i="1"/>
  <c r="CI382" i="1"/>
  <c r="CF382" i="1"/>
  <c r="CE382" i="1"/>
  <c r="CB382" i="1"/>
  <c r="CA382" i="1"/>
  <c r="BX382" i="1"/>
  <c r="BW382" i="1"/>
  <c r="BT382" i="1"/>
  <c r="BS382" i="1"/>
  <c r="BP382" i="1"/>
  <c r="BO382" i="1"/>
  <c r="BL382" i="1"/>
  <c r="BK382" i="1"/>
  <c r="BH382" i="1"/>
  <c r="BG382" i="1"/>
  <c r="BD382" i="1"/>
  <c r="BC382" i="1"/>
  <c r="AZ382" i="1"/>
  <c r="AY382" i="1"/>
  <c r="AV382" i="1"/>
  <c r="AU382" i="1"/>
  <c r="AR382" i="1"/>
  <c r="AQ382" i="1"/>
  <c r="AN382" i="1"/>
  <c r="AM382" i="1"/>
  <c r="AJ382" i="1"/>
  <c r="AI382" i="1"/>
  <c r="AF382" i="1"/>
  <c r="AE382" i="1"/>
  <c r="AB382" i="1"/>
  <c r="AA382" i="1"/>
  <c r="X382" i="1"/>
  <c r="W382" i="1"/>
  <c r="T382" i="1"/>
  <c r="S382" i="1"/>
  <c r="P382" i="1"/>
  <c r="L382" i="1"/>
  <c r="K382" i="1"/>
  <c r="H382" i="1"/>
  <c r="G382" i="1"/>
  <c r="D382" i="1"/>
  <c r="C382" i="1"/>
  <c r="CJ381" i="1"/>
  <c r="CI381" i="1"/>
  <c r="CF381" i="1"/>
  <c r="CE381" i="1"/>
  <c r="CB381" i="1"/>
  <c r="CA381" i="1"/>
  <c r="BX381" i="1"/>
  <c r="BW381" i="1"/>
  <c r="BT381" i="1"/>
  <c r="BS381" i="1"/>
  <c r="BP381" i="1"/>
  <c r="BO381" i="1"/>
  <c r="BL381" i="1"/>
  <c r="BK381" i="1"/>
  <c r="BH381" i="1"/>
  <c r="BG381" i="1"/>
  <c r="BD381" i="1"/>
  <c r="BC381" i="1"/>
  <c r="AZ381" i="1"/>
  <c r="AY381" i="1"/>
  <c r="AV381" i="1"/>
  <c r="AU381" i="1"/>
  <c r="AR381" i="1"/>
  <c r="AQ381" i="1"/>
  <c r="AN381" i="1"/>
  <c r="AM381" i="1"/>
  <c r="AJ381" i="1"/>
  <c r="AI381" i="1"/>
  <c r="AF381" i="1"/>
  <c r="AE381" i="1"/>
  <c r="AB381" i="1"/>
  <c r="AA381" i="1"/>
  <c r="X381" i="1"/>
  <c r="W381" i="1"/>
  <c r="T381" i="1"/>
  <c r="S381" i="1"/>
  <c r="P381" i="1"/>
  <c r="L381" i="1"/>
  <c r="K381" i="1"/>
  <c r="H381" i="1"/>
  <c r="G381" i="1"/>
  <c r="D381" i="1"/>
  <c r="C381" i="1"/>
  <c r="CJ380" i="1"/>
  <c r="CI380" i="1"/>
  <c r="CF380" i="1"/>
  <c r="CE380" i="1"/>
  <c r="CB380" i="1"/>
  <c r="CA380" i="1"/>
  <c r="BX380" i="1"/>
  <c r="BW380" i="1"/>
  <c r="BT380" i="1"/>
  <c r="BS380" i="1"/>
  <c r="BP380" i="1"/>
  <c r="BO380" i="1"/>
  <c r="BL380" i="1"/>
  <c r="BK380" i="1"/>
  <c r="BH380" i="1"/>
  <c r="BG380" i="1"/>
  <c r="BD380" i="1"/>
  <c r="BC380" i="1"/>
  <c r="AZ380" i="1"/>
  <c r="AY380" i="1"/>
  <c r="AV380" i="1"/>
  <c r="AU380" i="1"/>
  <c r="AR380" i="1"/>
  <c r="AQ380" i="1"/>
  <c r="AN380" i="1"/>
  <c r="AM380" i="1"/>
  <c r="AJ380" i="1"/>
  <c r="AI380" i="1"/>
  <c r="AF380" i="1"/>
  <c r="AE380" i="1"/>
  <c r="AB380" i="1"/>
  <c r="AA380" i="1"/>
  <c r="X380" i="1"/>
  <c r="W380" i="1"/>
  <c r="T380" i="1"/>
  <c r="S380" i="1"/>
  <c r="P380" i="1"/>
  <c r="L380" i="1"/>
  <c r="K380" i="1"/>
  <c r="H380" i="1"/>
  <c r="G380" i="1"/>
  <c r="D380" i="1"/>
  <c r="C380" i="1"/>
  <c r="CJ379" i="1"/>
  <c r="CI379" i="1"/>
  <c r="CF379" i="1"/>
  <c r="CE379" i="1"/>
  <c r="CB379" i="1"/>
  <c r="CA379" i="1"/>
  <c r="BX379" i="1"/>
  <c r="BW379" i="1"/>
  <c r="BT379" i="1"/>
  <c r="BS379" i="1"/>
  <c r="BP379" i="1"/>
  <c r="BO379" i="1"/>
  <c r="BL379" i="1"/>
  <c r="BK379" i="1"/>
  <c r="BH379" i="1"/>
  <c r="BG379" i="1"/>
  <c r="BD379" i="1"/>
  <c r="BC379" i="1"/>
  <c r="AZ379" i="1"/>
  <c r="AY379" i="1"/>
  <c r="AV379" i="1"/>
  <c r="AU379" i="1"/>
  <c r="AR379" i="1"/>
  <c r="AQ379" i="1"/>
  <c r="AN379" i="1"/>
  <c r="AM379" i="1"/>
  <c r="AJ379" i="1"/>
  <c r="AI379" i="1"/>
  <c r="AF379" i="1"/>
  <c r="AE379" i="1"/>
  <c r="AB379" i="1"/>
  <c r="AA379" i="1"/>
  <c r="X379" i="1"/>
  <c r="W379" i="1"/>
  <c r="T379" i="1"/>
  <c r="S379" i="1"/>
  <c r="P379" i="1"/>
  <c r="L379" i="1"/>
  <c r="K379" i="1"/>
  <c r="H379" i="1"/>
  <c r="G379" i="1"/>
  <c r="D379" i="1"/>
  <c r="C379" i="1"/>
  <c r="CJ372" i="1"/>
  <c r="CI372" i="1"/>
  <c r="CF372" i="1"/>
  <c r="CE372" i="1"/>
  <c r="CB372" i="1"/>
  <c r="CA372" i="1"/>
  <c r="BX372" i="1"/>
  <c r="BW372" i="1"/>
  <c r="BT372" i="1"/>
  <c r="BS372" i="1"/>
  <c r="BP372" i="1"/>
  <c r="BO372" i="1"/>
  <c r="BL372" i="1"/>
  <c r="BK372" i="1"/>
  <c r="BH372" i="1"/>
  <c r="BG372" i="1"/>
  <c r="BD372" i="1"/>
  <c r="BC372" i="1"/>
  <c r="AZ372" i="1"/>
  <c r="AY372" i="1"/>
  <c r="AV372" i="1"/>
  <c r="AU372" i="1"/>
  <c r="AR372" i="1"/>
  <c r="AQ372" i="1"/>
  <c r="AN372" i="1"/>
  <c r="AM372" i="1"/>
  <c r="AJ372" i="1"/>
  <c r="AI372" i="1"/>
  <c r="AF372" i="1"/>
  <c r="AE372" i="1"/>
  <c r="AB372" i="1"/>
  <c r="AA372" i="1"/>
  <c r="X372" i="1"/>
  <c r="W372" i="1"/>
  <c r="T372" i="1"/>
  <c r="S372" i="1"/>
  <c r="P372" i="1"/>
  <c r="O372" i="1"/>
  <c r="L372" i="1"/>
  <c r="K372" i="1"/>
  <c r="H372" i="1"/>
  <c r="G372" i="1"/>
  <c r="D372" i="1"/>
  <c r="C372" i="1"/>
  <c r="CJ371" i="1"/>
  <c r="CI371" i="1"/>
  <c r="CF371" i="1"/>
  <c r="CE371" i="1"/>
  <c r="CB371" i="1"/>
  <c r="CA371" i="1"/>
  <c r="BX371" i="1"/>
  <c r="BW371" i="1"/>
  <c r="BT371" i="1"/>
  <c r="BS371" i="1"/>
  <c r="BP371" i="1"/>
  <c r="BO371" i="1"/>
  <c r="BL371" i="1"/>
  <c r="BK371" i="1"/>
  <c r="BH371" i="1"/>
  <c r="BG371" i="1"/>
  <c r="BD371" i="1"/>
  <c r="BC371" i="1"/>
  <c r="AZ371" i="1"/>
  <c r="AY371" i="1"/>
  <c r="AV371" i="1"/>
  <c r="AU371" i="1"/>
  <c r="AR371" i="1"/>
  <c r="AQ371" i="1"/>
  <c r="AN371" i="1"/>
  <c r="AM371" i="1"/>
  <c r="AJ371" i="1"/>
  <c r="AI371" i="1"/>
  <c r="AF371" i="1"/>
  <c r="AE371" i="1"/>
  <c r="AB371" i="1"/>
  <c r="AA371" i="1"/>
  <c r="X371" i="1"/>
  <c r="W371" i="1"/>
  <c r="T371" i="1"/>
  <c r="S371" i="1"/>
  <c r="P371" i="1"/>
  <c r="O371" i="1"/>
  <c r="L371" i="1"/>
  <c r="K371" i="1"/>
  <c r="H371" i="1"/>
  <c r="G371" i="1"/>
  <c r="D371" i="1"/>
  <c r="C371" i="1"/>
  <c r="CJ370" i="1"/>
  <c r="CI370" i="1"/>
  <c r="CF370" i="1"/>
  <c r="CE370" i="1"/>
  <c r="CB370" i="1"/>
  <c r="CA370" i="1"/>
  <c r="BX370" i="1"/>
  <c r="BW370" i="1"/>
  <c r="BT370" i="1"/>
  <c r="BS370" i="1"/>
  <c r="BP370" i="1"/>
  <c r="BO370" i="1"/>
  <c r="BL370" i="1"/>
  <c r="BK370" i="1"/>
  <c r="BH370" i="1"/>
  <c r="BG370" i="1"/>
  <c r="BD370" i="1"/>
  <c r="BC370" i="1"/>
  <c r="AZ370" i="1"/>
  <c r="AY370" i="1"/>
  <c r="AV370" i="1"/>
  <c r="AU370" i="1"/>
  <c r="AR370" i="1"/>
  <c r="AQ370" i="1"/>
  <c r="AN370" i="1"/>
  <c r="AM370" i="1"/>
  <c r="AJ370" i="1"/>
  <c r="AI370" i="1"/>
  <c r="AF370" i="1"/>
  <c r="AE370" i="1"/>
  <c r="AB370" i="1"/>
  <c r="AA370" i="1"/>
  <c r="X370" i="1"/>
  <c r="W370" i="1"/>
  <c r="T370" i="1"/>
  <c r="S370" i="1"/>
  <c r="P370" i="1"/>
  <c r="O370" i="1"/>
  <c r="L370" i="1"/>
  <c r="K370" i="1"/>
  <c r="H370" i="1"/>
  <c r="G370" i="1"/>
  <c r="D370" i="1"/>
  <c r="C370" i="1"/>
  <c r="CJ369" i="1"/>
  <c r="CI369" i="1"/>
  <c r="CF369" i="1"/>
  <c r="CE369" i="1"/>
  <c r="CB369" i="1"/>
  <c r="CA369" i="1"/>
  <c r="BX369" i="1"/>
  <c r="BW369" i="1"/>
  <c r="BT369" i="1"/>
  <c r="BS369" i="1"/>
  <c r="BP369" i="1"/>
  <c r="BO369" i="1"/>
  <c r="BL369" i="1"/>
  <c r="BK369" i="1"/>
  <c r="BH369" i="1"/>
  <c r="BG369" i="1"/>
  <c r="BD369" i="1"/>
  <c r="BC369" i="1"/>
  <c r="AZ369" i="1"/>
  <c r="AY369" i="1"/>
  <c r="AV369" i="1"/>
  <c r="AU369" i="1"/>
  <c r="AR369" i="1"/>
  <c r="AQ369" i="1"/>
  <c r="AN369" i="1"/>
  <c r="AM369" i="1"/>
  <c r="AJ369" i="1"/>
  <c r="AI369" i="1"/>
  <c r="AF369" i="1"/>
  <c r="AE369" i="1"/>
  <c r="AB369" i="1"/>
  <c r="AA369" i="1"/>
  <c r="X369" i="1"/>
  <c r="W369" i="1"/>
  <c r="T369" i="1"/>
  <c r="S369" i="1"/>
  <c r="P369" i="1"/>
  <c r="O369" i="1"/>
  <c r="L369" i="1"/>
  <c r="K369" i="1"/>
  <c r="H369" i="1"/>
  <c r="G369" i="1"/>
  <c r="D369" i="1"/>
  <c r="C369" i="1"/>
  <c r="CJ368" i="1"/>
  <c r="CI368" i="1"/>
  <c r="CF368" i="1"/>
  <c r="CE368" i="1"/>
  <c r="CB368" i="1"/>
  <c r="CA368" i="1"/>
  <c r="BX368" i="1"/>
  <c r="BW368" i="1"/>
  <c r="BT368" i="1"/>
  <c r="BS368" i="1"/>
  <c r="BP368" i="1"/>
  <c r="BO368" i="1"/>
  <c r="BL368" i="1"/>
  <c r="BK368" i="1"/>
  <c r="BH368" i="1"/>
  <c r="BG368" i="1"/>
  <c r="BD368" i="1"/>
  <c r="BC368" i="1"/>
  <c r="AZ368" i="1"/>
  <c r="AY368" i="1"/>
  <c r="AV368" i="1"/>
  <c r="AU368" i="1"/>
  <c r="AR368" i="1"/>
  <c r="AQ368" i="1"/>
  <c r="AN368" i="1"/>
  <c r="AM368" i="1"/>
  <c r="AJ368" i="1"/>
  <c r="AI368" i="1"/>
  <c r="AF368" i="1"/>
  <c r="AE368" i="1"/>
  <c r="AB368" i="1"/>
  <c r="AA368" i="1"/>
  <c r="X368" i="1"/>
  <c r="W368" i="1"/>
  <c r="T368" i="1"/>
  <c r="S368" i="1"/>
  <c r="P368" i="1"/>
  <c r="O368" i="1"/>
  <c r="L368" i="1"/>
  <c r="K368" i="1"/>
  <c r="H368" i="1"/>
  <c r="G368" i="1"/>
  <c r="D368" i="1"/>
  <c r="C368" i="1"/>
  <c r="CJ367" i="1"/>
  <c r="CI367" i="1"/>
  <c r="CF367" i="1"/>
  <c r="CE367" i="1"/>
  <c r="CB367" i="1"/>
  <c r="CA367" i="1"/>
  <c r="BX367" i="1"/>
  <c r="BW367" i="1"/>
  <c r="BT367" i="1"/>
  <c r="BS367" i="1"/>
  <c r="BP367" i="1"/>
  <c r="BO367" i="1"/>
  <c r="BL367" i="1"/>
  <c r="BK367" i="1"/>
  <c r="BH367" i="1"/>
  <c r="BG367" i="1"/>
  <c r="BD367" i="1"/>
  <c r="BC367" i="1"/>
  <c r="AZ367" i="1"/>
  <c r="AY367" i="1"/>
  <c r="AV367" i="1"/>
  <c r="AU367" i="1"/>
  <c r="AR367" i="1"/>
  <c r="AQ367" i="1"/>
  <c r="AN367" i="1"/>
  <c r="AM367" i="1"/>
  <c r="AJ367" i="1"/>
  <c r="AI367" i="1"/>
  <c r="AF367" i="1"/>
  <c r="AE367" i="1"/>
  <c r="AB367" i="1"/>
  <c r="AA367" i="1"/>
  <c r="X367" i="1"/>
  <c r="W367" i="1"/>
  <c r="T367" i="1"/>
  <c r="S367" i="1"/>
  <c r="P367" i="1"/>
  <c r="O367" i="1"/>
  <c r="L367" i="1"/>
  <c r="K367" i="1"/>
  <c r="H367" i="1"/>
  <c r="G367" i="1"/>
  <c r="D367" i="1"/>
  <c r="C367" i="1"/>
  <c r="A366" i="1"/>
  <c r="CJ360" i="1"/>
  <c r="CI360" i="1"/>
  <c r="CF360" i="1"/>
  <c r="CE360" i="1"/>
  <c r="CB360" i="1"/>
  <c r="CA360" i="1"/>
  <c r="BX360" i="1"/>
  <c r="BW360" i="1"/>
  <c r="BT360" i="1"/>
  <c r="BS360" i="1"/>
  <c r="BP360" i="1"/>
  <c r="BO360" i="1"/>
  <c r="BL360" i="1"/>
  <c r="BK360" i="1"/>
  <c r="BH360" i="1"/>
  <c r="BG360" i="1"/>
  <c r="BD360" i="1"/>
  <c r="BC360" i="1"/>
  <c r="AZ360" i="1"/>
  <c r="AY360" i="1"/>
  <c r="AV360" i="1"/>
  <c r="AU360" i="1"/>
  <c r="AR360" i="1"/>
  <c r="AQ360" i="1"/>
  <c r="AN360" i="1"/>
  <c r="AM360" i="1"/>
  <c r="AJ360" i="1"/>
  <c r="AI360" i="1"/>
  <c r="AF360" i="1"/>
  <c r="AE360" i="1"/>
  <c r="AB360" i="1"/>
  <c r="AA360" i="1"/>
  <c r="X360" i="1"/>
  <c r="W360" i="1"/>
  <c r="T360" i="1"/>
  <c r="S360" i="1"/>
  <c r="P360" i="1"/>
  <c r="O360" i="1"/>
  <c r="L360" i="1"/>
  <c r="K360" i="1"/>
  <c r="H360" i="1"/>
  <c r="G360" i="1"/>
  <c r="D360" i="1"/>
  <c r="C360" i="1"/>
  <c r="CJ359" i="1"/>
  <c r="CI359" i="1"/>
  <c r="CF359" i="1"/>
  <c r="CE359" i="1"/>
  <c r="CB359" i="1"/>
  <c r="CA359" i="1"/>
  <c r="BX359" i="1"/>
  <c r="BW359" i="1"/>
  <c r="BT359" i="1"/>
  <c r="BS359" i="1"/>
  <c r="BP359" i="1"/>
  <c r="BO359" i="1"/>
  <c r="BL359" i="1"/>
  <c r="BK359" i="1"/>
  <c r="BH359" i="1"/>
  <c r="BG359" i="1"/>
  <c r="BD359" i="1"/>
  <c r="BC359" i="1"/>
  <c r="AZ359" i="1"/>
  <c r="AY359" i="1"/>
  <c r="AV359" i="1"/>
  <c r="AU359" i="1"/>
  <c r="AR359" i="1"/>
  <c r="AQ359" i="1"/>
  <c r="AN359" i="1"/>
  <c r="AM359" i="1"/>
  <c r="AJ359" i="1"/>
  <c r="AI359" i="1"/>
  <c r="AF359" i="1"/>
  <c r="AE359" i="1"/>
  <c r="AB359" i="1"/>
  <c r="AA359" i="1"/>
  <c r="X359" i="1"/>
  <c r="W359" i="1"/>
  <c r="T359" i="1"/>
  <c r="S359" i="1"/>
  <c r="P359" i="1"/>
  <c r="O359" i="1"/>
  <c r="L359" i="1"/>
  <c r="K359" i="1"/>
  <c r="H359" i="1"/>
  <c r="G359" i="1"/>
  <c r="D359" i="1"/>
  <c r="C359" i="1"/>
  <c r="CJ358" i="1"/>
  <c r="CI358" i="1"/>
  <c r="CF358" i="1"/>
  <c r="CE358" i="1"/>
  <c r="CB358" i="1"/>
  <c r="CA358" i="1"/>
  <c r="BX358" i="1"/>
  <c r="BW358" i="1"/>
  <c r="BT358" i="1"/>
  <c r="BS358" i="1"/>
  <c r="BP358" i="1"/>
  <c r="BO358" i="1"/>
  <c r="BL358" i="1"/>
  <c r="BK358" i="1"/>
  <c r="BH358" i="1"/>
  <c r="BG358" i="1"/>
  <c r="BD358" i="1"/>
  <c r="BC358" i="1"/>
  <c r="AZ358" i="1"/>
  <c r="AY358" i="1"/>
  <c r="AV358" i="1"/>
  <c r="AU358" i="1"/>
  <c r="AR358" i="1"/>
  <c r="AQ358" i="1"/>
  <c r="AN358" i="1"/>
  <c r="AM358" i="1"/>
  <c r="AJ358" i="1"/>
  <c r="AI358" i="1"/>
  <c r="AF358" i="1"/>
  <c r="AE358" i="1"/>
  <c r="AB358" i="1"/>
  <c r="AA358" i="1"/>
  <c r="X358" i="1"/>
  <c r="W358" i="1"/>
  <c r="T358" i="1"/>
  <c r="S358" i="1"/>
  <c r="P358" i="1"/>
  <c r="O358" i="1"/>
  <c r="L358" i="1"/>
  <c r="K358" i="1"/>
  <c r="H358" i="1"/>
  <c r="G358" i="1"/>
  <c r="D358" i="1"/>
  <c r="C358" i="1"/>
  <c r="CJ351" i="1"/>
  <c r="CI351" i="1"/>
  <c r="CF351" i="1"/>
  <c r="CE351" i="1"/>
  <c r="CB351" i="1"/>
  <c r="CA351" i="1"/>
  <c r="BX351" i="1"/>
  <c r="BW351" i="1"/>
  <c r="BT351" i="1"/>
  <c r="BS351" i="1"/>
  <c r="BP351" i="1"/>
  <c r="BO351" i="1"/>
  <c r="BL351" i="1"/>
  <c r="BK351" i="1"/>
  <c r="BH351" i="1"/>
  <c r="BG351" i="1"/>
  <c r="BD351" i="1"/>
  <c r="BC351" i="1"/>
  <c r="AZ351" i="1"/>
  <c r="AY351" i="1"/>
  <c r="AV351" i="1"/>
  <c r="AU351" i="1"/>
  <c r="AR351" i="1"/>
  <c r="AQ351" i="1"/>
  <c r="AN351" i="1"/>
  <c r="AM351" i="1"/>
  <c r="AJ351" i="1"/>
  <c r="AI351" i="1"/>
  <c r="AF351" i="1"/>
  <c r="AE351" i="1"/>
  <c r="AB351" i="1"/>
  <c r="AA351" i="1"/>
  <c r="X351" i="1"/>
  <c r="W351" i="1"/>
  <c r="T351" i="1"/>
  <c r="S351" i="1"/>
  <c r="P351" i="1"/>
  <c r="L351" i="1"/>
  <c r="K351" i="1"/>
  <c r="H351" i="1"/>
  <c r="G351" i="1"/>
  <c r="D351" i="1"/>
  <c r="C351" i="1"/>
  <c r="CJ350" i="1"/>
  <c r="CI350" i="1"/>
  <c r="CF350" i="1"/>
  <c r="CE350" i="1"/>
  <c r="CB350" i="1"/>
  <c r="CA350" i="1"/>
  <c r="BX350" i="1"/>
  <c r="BW350" i="1"/>
  <c r="BT350" i="1"/>
  <c r="BS350" i="1"/>
  <c r="BP350" i="1"/>
  <c r="BO350" i="1"/>
  <c r="BL350" i="1"/>
  <c r="BK350" i="1"/>
  <c r="BH350" i="1"/>
  <c r="BG350" i="1"/>
  <c r="BD350" i="1"/>
  <c r="BC350" i="1"/>
  <c r="AZ350" i="1"/>
  <c r="AY350" i="1"/>
  <c r="AV350" i="1"/>
  <c r="AU350" i="1"/>
  <c r="AR350" i="1"/>
  <c r="AQ350" i="1"/>
  <c r="AN350" i="1"/>
  <c r="AM350" i="1"/>
  <c r="AJ350" i="1"/>
  <c r="AI350" i="1"/>
  <c r="AF350" i="1"/>
  <c r="AE350" i="1"/>
  <c r="AB350" i="1"/>
  <c r="AA350" i="1"/>
  <c r="X350" i="1"/>
  <c r="W350" i="1"/>
  <c r="T350" i="1"/>
  <c r="S350" i="1"/>
  <c r="P350" i="1"/>
  <c r="L350" i="1"/>
  <c r="K350" i="1"/>
  <c r="H350" i="1"/>
  <c r="G350" i="1"/>
  <c r="D350" i="1"/>
  <c r="C350" i="1"/>
  <c r="CJ349" i="1"/>
  <c r="CI349" i="1"/>
  <c r="CF349" i="1"/>
  <c r="CE349" i="1"/>
  <c r="CB349" i="1"/>
  <c r="CA349" i="1"/>
  <c r="BX349" i="1"/>
  <c r="BW349" i="1"/>
  <c r="BT349" i="1"/>
  <c r="BS349" i="1"/>
  <c r="BP349" i="1"/>
  <c r="BO349" i="1"/>
  <c r="BL349" i="1"/>
  <c r="BK349" i="1"/>
  <c r="BH349" i="1"/>
  <c r="BG349" i="1"/>
  <c r="BD349" i="1"/>
  <c r="BC349" i="1"/>
  <c r="AZ349" i="1"/>
  <c r="AY349" i="1"/>
  <c r="AV349" i="1"/>
  <c r="AU349" i="1"/>
  <c r="AR349" i="1"/>
  <c r="AQ349" i="1"/>
  <c r="AN349" i="1"/>
  <c r="AM349" i="1"/>
  <c r="AJ349" i="1"/>
  <c r="AI349" i="1"/>
  <c r="AF349" i="1"/>
  <c r="AE349" i="1"/>
  <c r="AB349" i="1"/>
  <c r="AA349" i="1"/>
  <c r="X349" i="1"/>
  <c r="W349" i="1"/>
  <c r="T349" i="1"/>
  <c r="S349" i="1"/>
  <c r="P349" i="1"/>
  <c r="L349" i="1"/>
  <c r="K349" i="1"/>
  <c r="H349" i="1"/>
  <c r="G349" i="1"/>
  <c r="D349" i="1"/>
  <c r="C349" i="1"/>
  <c r="CJ348" i="1"/>
  <c r="CI348" i="1"/>
  <c r="CF348" i="1"/>
  <c r="CE348" i="1"/>
  <c r="CB348" i="1"/>
  <c r="CA348" i="1"/>
  <c r="BX348" i="1"/>
  <c r="BW348" i="1"/>
  <c r="BT348" i="1"/>
  <c r="BS348" i="1"/>
  <c r="BP348" i="1"/>
  <c r="BO348" i="1"/>
  <c r="BL348" i="1"/>
  <c r="BK348" i="1"/>
  <c r="BH348" i="1"/>
  <c r="BG348" i="1"/>
  <c r="BD348" i="1"/>
  <c r="BC348" i="1"/>
  <c r="AZ348" i="1"/>
  <c r="AY348" i="1"/>
  <c r="AV348" i="1"/>
  <c r="AU348" i="1"/>
  <c r="AR348" i="1"/>
  <c r="AQ348" i="1"/>
  <c r="AN348" i="1"/>
  <c r="AM348" i="1"/>
  <c r="AJ348" i="1"/>
  <c r="AI348" i="1"/>
  <c r="AF348" i="1"/>
  <c r="AE348" i="1"/>
  <c r="AB348" i="1"/>
  <c r="AA348" i="1"/>
  <c r="X348" i="1"/>
  <c r="W348" i="1"/>
  <c r="T348" i="1"/>
  <c r="S348" i="1"/>
  <c r="P348" i="1"/>
  <c r="L348" i="1"/>
  <c r="K348" i="1"/>
  <c r="H348" i="1"/>
  <c r="G348" i="1"/>
  <c r="D348" i="1"/>
  <c r="C348" i="1"/>
  <c r="CJ341" i="1"/>
  <c r="CI341" i="1"/>
  <c r="CF341" i="1"/>
  <c r="CE341" i="1"/>
  <c r="CB341" i="1"/>
  <c r="CA341" i="1"/>
  <c r="BX341" i="1"/>
  <c r="BW341" i="1"/>
  <c r="BT341" i="1"/>
  <c r="BS341" i="1"/>
  <c r="BP341" i="1"/>
  <c r="BO341" i="1"/>
  <c r="BL341" i="1"/>
  <c r="BK341" i="1"/>
  <c r="BH341" i="1"/>
  <c r="BG341" i="1"/>
  <c r="BD341" i="1"/>
  <c r="BC341" i="1"/>
  <c r="AZ341" i="1"/>
  <c r="AY341" i="1"/>
  <c r="AV341" i="1"/>
  <c r="AU341" i="1"/>
  <c r="AR341" i="1"/>
  <c r="AQ341" i="1"/>
  <c r="AN341" i="1"/>
  <c r="AM341" i="1"/>
  <c r="AJ341" i="1"/>
  <c r="AI341" i="1"/>
  <c r="AF341" i="1"/>
  <c r="AE341" i="1"/>
  <c r="AB341" i="1"/>
  <c r="AA341" i="1"/>
  <c r="X341" i="1"/>
  <c r="W341" i="1"/>
  <c r="T341" i="1"/>
  <c r="S341" i="1"/>
  <c r="P341" i="1"/>
  <c r="O341" i="1"/>
  <c r="L341" i="1"/>
  <c r="K341" i="1"/>
  <c r="H341" i="1"/>
  <c r="G341" i="1"/>
  <c r="D341" i="1"/>
  <c r="C341" i="1"/>
  <c r="CJ340" i="1"/>
  <c r="CI340" i="1"/>
  <c r="CF340" i="1"/>
  <c r="CE340" i="1"/>
  <c r="CB340" i="1"/>
  <c r="CA340" i="1"/>
  <c r="BX340" i="1"/>
  <c r="BW340" i="1"/>
  <c r="BT340" i="1"/>
  <c r="BS340" i="1"/>
  <c r="BP340" i="1"/>
  <c r="BO340" i="1"/>
  <c r="BL340" i="1"/>
  <c r="BK340" i="1"/>
  <c r="BH340" i="1"/>
  <c r="BG340" i="1"/>
  <c r="BD340" i="1"/>
  <c r="BC340" i="1"/>
  <c r="AZ340" i="1"/>
  <c r="AY340" i="1"/>
  <c r="AV340" i="1"/>
  <c r="AU340" i="1"/>
  <c r="AR340" i="1"/>
  <c r="AQ340" i="1"/>
  <c r="AN340" i="1"/>
  <c r="AM340" i="1"/>
  <c r="AJ340" i="1"/>
  <c r="AI340" i="1"/>
  <c r="AF340" i="1"/>
  <c r="AE340" i="1"/>
  <c r="AB340" i="1"/>
  <c r="AA340" i="1"/>
  <c r="X340" i="1"/>
  <c r="W340" i="1"/>
  <c r="T340" i="1"/>
  <c r="S340" i="1"/>
  <c r="P340" i="1"/>
  <c r="O340" i="1"/>
  <c r="L340" i="1"/>
  <c r="K340" i="1"/>
  <c r="H340" i="1"/>
  <c r="G340" i="1"/>
  <c r="D340" i="1"/>
  <c r="C340" i="1"/>
  <c r="CJ339" i="1"/>
  <c r="CI339" i="1"/>
  <c r="CF339" i="1"/>
  <c r="CE339" i="1"/>
  <c r="CB339" i="1"/>
  <c r="CA339" i="1"/>
  <c r="BX339" i="1"/>
  <c r="BW339" i="1"/>
  <c r="BT339" i="1"/>
  <c r="BS339" i="1"/>
  <c r="BP339" i="1"/>
  <c r="BO339" i="1"/>
  <c r="BL339" i="1"/>
  <c r="BK339" i="1"/>
  <c r="BH339" i="1"/>
  <c r="BG339" i="1"/>
  <c r="BD339" i="1"/>
  <c r="BC339" i="1"/>
  <c r="AZ339" i="1"/>
  <c r="AY339" i="1"/>
  <c r="AV339" i="1"/>
  <c r="AU339" i="1"/>
  <c r="AR339" i="1"/>
  <c r="AQ339" i="1"/>
  <c r="AN339" i="1"/>
  <c r="AM339" i="1"/>
  <c r="AJ339" i="1"/>
  <c r="AI339" i="1"/>
  <c r="AF339" i="1"/>
  <c r="AE339" i="1"/>
  <c r="AB339" i="1"/>
  <c r="AA339" i="1"/>
  <c r="X339" i="1"/>
  <c r="W339" i="1"/>
  <c r="T339" i="1"/>
  <c r="S339" i="1"/>
  <c r="P339" i="1"/>
  <c r="O339" i="1"/>
  <c r="L339" i="1"/>
  <c r="K339" i="1"/>
  <c r="H339" i="1"/>
  <c r="G339" i="1"/>
  <c r="D339" i="1"/>
  <c r="C339" i="1"/>
  <c r="CJ338" i="1"/>
  <c r="CI338" i="1"/>
  <c r="CF338" i="1"/>
  <c r="CE338" i="1"/>
  <c r="CB338" i="1"/>
  <c r="CA338" i="1"/>
  <c r="BX338" i="1"/>
  <c r="BW338" i="1"/>
  <c r="BT338" i="1"/>
  <c r="BS338" i="1"/>
  <c r="BP338" i="1"/>
  <c r="BO338" i="1"/>
  <c r="BL338" i="1"/>
  <c r="BK338" i="1"/>
  <c r="BH338" i="1"/>
  <c r="BG338" i="1"/>
  <c r="BD338" i="1"/>
  <c r="BC338" i="1"/>
  <c r="AZ338" i="1"/>
  <c r="AY338" i="1"/>
  <c r="AV338" i="1"/>
  <c r="AU338" i="1"/>
  <c r="AR338" i="1"/>
  <c r="AQ338" i="1"/>
  <c r="AN338" i="1"/>
  <c r="AM338" i="1"/>
  <c r="AJ338" i="1"/>
  <c r="AI338" i="1"/>
  <c r="AF338" i="1"/>
  <c r="AE338" i="1"/>
  <c r="AB338" i="1"/>
  <c r="AA338" i="1"/>
  <c r="X338" i="1"/>
  <c r="W338" i="1"/>
  <c r="T338" i="1"/>
  <c r="S338" i="1"/>
  <c r="P338" i="1"/>
  <c r="O338" i="1"/>
  <c r="L338" i="1"/>
  <c r="K338" i="1"/>
  <c r="H338" i="1"/>
  <c r="G338" i="1"/>
  <c r="D338" i="1"/>
  <c r="C338" i="1"/>
  <c r="CJ337" i="1"/>
  <c r="CI337" i="1"/>
  <c r="CF337" i="1"/>
  <c r="CE337" i="1"/>
  <c r="CB337" i="1"/>
  <c r="CA337" i="1"/>
  <c r="BX337" i="1"/>
  <c r="BW337" i="1"/>
  <c r="BT337" i="1"/>
  <c r="BS337" i="1"/>
  <c r="BP337" i="1"/>
  <c r="BO337" i="1"/>
  <c r="BL337" i="1"/>
  <c r="BK337" i="1"/>
  <c r="BH337" i="1"/>
  <c r="BG337" i="1"/>
  <c r="BD337" i="1"/>
  <c r="BC337" i="1"/>
  <c r="AZ337" i="1"/>
  <c r="AY337" i="1"/>
  <c r="AV337" i="1"/>
  <c r="AU337" i="1"/>
  <c r="AR337" i="1"/>
  <c r="AQ337" i="1"/>
  <c r="AN337" i="1"/>
  <c r="AM337" i="1"/>
  <c r="AJ337" i="1"/>
  <c r="AI337" i="1"/>
  <c r="AF337" i="1"/>
  <c r="AE337" i="1"/>
  <c r="AB337" i="1"/>
  <c r="AA337" i="1"/>
  <c r="X337" i="1"/>
  <c r="W337" i="1"/>
  <c r="T337" i="1"/>
  <c r="S337" i="1"/>
  <c r="P337" i="1"/>
  <c r="O337" i="1"/>
  <c r="L337" i="1"/>
  <c r="K337" i="1"/>
  <c r="H337" i="1"/>
  <c r="G337" i="1"/>
  <c r="D337" i="1"/>
  <c r="C337" i="1"/>
  <c r="CJ336" i="1"/>
  <c r="CI336" i="1"/>
  <c r="CF336" i="1"/>
  <c r="CE336" i="1"/>
  <c r="CB336" i="1"/>
  <c r="CA336" i="1"/>
  <c r="BX336" i="1"/>
  <c r="BW336" i="1"/>
  <c r="BT336" i="1"/>
  <c r="BS336" i="1"/>
  <c r="BP336" i="1"/>
  <c r="BO336" i="1"/>
  <c r="BL336" i="1"/>
  <c r="BK336" i="1"/>
  <c r="BH336" i="1"/>
  <c r="BG336" i="1"/>
  <c r="BD336" i="1"/>
  <c r="BC336" i="1"/>
  <c r="AZ336" i="1"/>
  <c r="AY336" i="1"/>
  <c r="AV336" i="1"/>
  <c r="AU336" i="1"/>
  <c r="AR336" i="1"/>
  <c r="AQ336" i="1"/>
  <c r="AN336" i="1"/>
  <c r="AM336" i="1"/>
  <c r="AJ336" i="1"/>
  <c r="AI336" i="1"/>
  <c r="AF336" i="1"/>
  <c r="AE336" i="1"/>
  <c r="AB336" i="1"/>
  <c r="AA336" i="1"/>
  <c r="X336" i="1"/>
  <c r="W336" i="1"/>
  <c r="T336" i="1"/>
  <c r="S336" i="1"/>
  <c r="P336" i="1"/>
  <c r="O336" i="1"/>
  <c r="L336" i="1"/>
  <c r="K336" i="1"/>
  <c r="H336" i="1"/>
  <c r="G336" i="1"/>
  <c r="D336" i="1"/>
  <c r="C336" i="1"/>
  <c r="A335" i="1"/>
  <c r="CJ329" i="1"/>
  <c r="CI329" i="1"/>
  <c r="CF329" i="1"/>
  <c r="CE329" i="1"/>
  <c r="CB329" i="1"/>
  <c r="CA329" i="1"/>
  <c r="BX329" i="1"/>
  <c r="BW329" i="1"/>
  <c r="BT329" i="1"/>
  <c r="BS329" i="1"/>
  <c r="BP329" i="1"/>
  <c r="BO329" i="1"/>
  <c r="BL329" i="1"/>
  <c r="BK329" i="1"/>
  <c r="BH329" i="1"/>
  <c r="BG329" i="1"/>
  <c r="BD329" i="1"/>
  <c r="BC329" i="1"/>
  <c r="AZ329" i="1"/>
  <c r="AY329" i="1"/>
  <c r="AV329" i="1"/>
  <c r="AU329" i="1"/>
  <c r="AR329" i="1"/>
  <c r="AQ329" i="1"/>
  <c r="AN329" i="1"/>
  <c r="AM329" i="1"/>
  <c r="AJ329" i="1"/>
  <c r="AI329" i="1"/>
  <c r="AF329" i="1"/>
  <c r="AE329" i="1"/>
  <c r="AB329" i="1"/>
  <c r="AA329" i="1"/>
  <c r="X329" i="1"/>
  <c r="W329" i="1"/>
  <c r="T329" i="1"/>
  <c r="S329" i="1"/>
  <c r="P329" i="1"/>
  <c r="O329" i="1"/>
  <c r="L329" i="1"/>
  <c r="K329" i="1"/>
  <c r="H329" i="1"/>
  <c r="G329" i="1"/>
  <c r="D329" i="1"/>
  <c r="C329" i="1"/>
  <c r="CJ328" i="1"/>
  <c r="CI328" i="1"/>
  <c r="CF328" i="1"/>
  <c r="CE328" i="1"/>
  <c r="CB328" i="1"/>
  <c r="CA328" i="1"/>
  <c r="BX328" i="1"/>
  <c r="BW328" i="1"/>
  <c r="BT328" i="1"/>
  <c r="BS328" i="1"/>
  <c r="BP328" i="1"/>
  <c r="BO328" i="1"/>
  <c r="BL328" i="1"/>
  <c r="BK328" i="1"/>
  <c r="BH328" i="1"/>
  <c r="BG328" i="1"/>
  <c r="BD328" i="1"/>
  <c r="BC328" i="1"/>
  <c r="AZ328" i="1"/>
  <c r="AY328" i="1"/>
  <c r="AV328" i="1"/>
  <c r="AU328" i="1"/>
  <c r="AR328" i="1"/>
  <c r="AQ328" i="1"/>
  <c r="AN328" i="1"/>
  <c r="AM328" i="1"/>
  <c r="AJ328" i="1"/>
  <c r="AI328" i="1"/>
  <c r="AF328" i="1"/>
  <c r="AE328" i="1"/>
  <c r="AB328" i="1"/>
  <c r="AA328" i="1"/>
  <c r="X328" i="1"/>
  <c r="W328" i="1"/>
  <c r="T328" i="1"/>
  <c r="S328" i="1"/>
  <c r="P328" i="1"/>
  <c r="O328" i="1"/>
  <c r="L328" i="1"/>
  <c r="K328" i="1"/>
  <c r="H328" i="1"/>
  <c r="G328" i="1"/>
  <c r="D328" i="1"/>
  <c r="C328" i="1"/>
  <c r="CJ327" i="1"/>
  <c r="CI327" i="1"/>
  <c r="CF327" i="1"/>
  <c r="CE327" i="1"/>
  <c r="CB327" i="1"/>
  <c r="CA327" i="1"/>
  <c r="BX327" i="1"/>
  <c r="BW327" i="1"/>
  <c r="BT327" i="1"/>
  <c r="BS327" i="1"/>
  <c r="BP327" i="1"/>
  <c r="BO327" i="1"/>
  <c r="BL327" i="1"/>
  <c r="BK327" i="1"/>
  <c r="BH327" i="1"/>
  <c r="BG327" i="1"/>
  <c r="BD327" i="1"/>
  <c r="BC327" i="1"/>
  <c r="AZ327" i="1"/>
  <c r="AY327" i="1"/>
  <c r="AV327" i="1"/>
  <c r="AU327" i="1"/>
  <c r="AR327" i="1"/>
  <c r="AQ327" i="1"/>
  <c r="AN327" i="1"/>
  <c r="AM327" i="1"/>
  <c r="AJ327" i="1"/>
  <c r="AI327" i="1"/>
  <c r="AF327" i="1"/>
  <c r="AE327" i="1"/>
  <c r="AB327" i="1"/>
  <c r="AA327" i="1"/>
  <c r="X327" i="1"/>
  <c r="W327" i="1"/>
  <c r="T327" i="1"/>
  <c r="S327" i="1"/>
  <c r="P327" i="1"/>
  <c r="O327" i="1"/>
  <c r="L327" i="1"/>
  <c r="K327" i="1"/>
  <c r="H327" i="1"/>
  <c r="G327" i="1"/>
  <c r="D327" i="1"/>
  <c r="C327" i="1"/>
  <c r="CJ320" i="1"/>
  <c r="CI320" i="1"/>
  <c r="CF320" i="1"/>
  <c r="CE320" i="1"/>
  <c r="CB320" i="1"/>
  <c r="CA320" i="1"/>
  <c r="BX320" i="1"/>
  <c r="BW320" i="1"/>
  <c r="BT320" i="1"/>
  <c r="BS320" i="1"/>
  <c r="BP320" i="1"/>
  <c r="BO320" i="1"/>
  <c r="BL320" i="1"/>
  <c r="BK320" i="1"/>
  <c r="BH320" i="1"/>
  <c r="BG320" i="1"/>
  <c r="BD320" i="1"/>
  <c r="BC320" i="1"/>
  <c r="AZ320" i="1"/>
  <c r="AY320" i="1"/>
  <c r="AV320" i="1"/>
  <c r="AU320" i="1"/>
  <c r="AR320" i="1"/>
  <c r="AQ320" i="1"/>
  <c r="AN320" i="1"/>
  <c r="AM320" i="1"/>
  <c r="AJ320" i="1"/>
  <c r="AI320" i="1"/>
  <c r="AF320" i="1"/>
  <c r="AE320" i="1"/>
  <c r="AB320" i="1"/>
  <c r="AA320" i="1"/>
  <c r="X320" i="1"/>
  <c r="W320" i="1"/>
  <c r="T320" i="1"/>
  <c r="S320" i="1"/>
  <c r="P320" i="1"/>
  <c r="O320" i="1"/>
  <c r="L320" i="1"/>
  <c r="K320" i="1"/>
  <c r="H320" i="1"/>
  <c r="G320" i="1"/>
  <c r="D320" i="1"/>
  <c r="C320" i="1"/>
  <c r="CJ318" i="1"/>
  <c r="CI318" i="1"/>
  <c r="CF318" i="1"/>
  <c r="CE318" i="1"/>
  <c r="CB318" i="1"/>
  <c r="CA318" i="1"/>
  <c r="BX318" i="1"/>
  <c r="BW318" i="1"/>
  <c r="BT318" i="1"/>
  <c r="BS318" i="1"/>
  <c r="BP318" i="1"/>
  <c r="BO318" i="1"/>
  <c r="BL318" i="1"/>
  <c r="BK318" i="1"/>
  <c r="BH318" i="1"/>
  <c r="BG318" i="1"/>
  <c r="BD318" i="1"/>
  <c r="BC318" i="1"/>
  <c r="AZ318" i="1"/>
  <c r="AY318" i="1"/>
  <c r="AV318" i="1"/>
  <c r="AU318" i="1"/>
  <c r="AR318" i="1"/>
  <c r="AQ318" i="1"/>
  <c r="AN318" i="1"/>
  <c r="AM318" i="1"/>
  <c r="AJ318" i="1"/>
  <c r="AI318" i="1"/>
  <c r="AF318" i="1"/>
  <c r="AE318" i="1"/>
  <c r="AB318" i="1"/>
  <c r="AA318" i="1"/>
  <c r="X318" i="1"/>
  <c r="W318" i="1"/>
  <c r="T318" i="1"/>
  <c r="S318" i="1"/>
  <c r="P318" i="1"/>
  <c r="O318" i="1"/>
  <c r="L318" i="1"/>
  <c r="K318" i="1"/>
  <c r="H318" i="1"/>
  <c r="G318" i="1"/>
  <c r="D318" i="1"/>
  <c r="C318" i="1"/>
  <c r="CJ317" i="1"/>
  <c r="CI317" i="1"/>
  <c r="CF317" i="1"/>
  <c r="CE317" i="1"/>
  <c r="CB317" i="1"/>
  <c r="CA317" i="1"/>
  <c r="BX317" i="1"/>
  <c r="BW317" i="1"/>
  <c r="BT317" i="1"/>
  <c r="BS317" i="1"/>
  <c r="BP317" i="1"/>
  <c r="BO317" i="1"/>
  <c r="BL317" i="1"/>
  <c r="BK317" i="1"/>
  <c r="BH317" i="1"/>
  <c r="BG317" i="1"/>
  <c r="BD317" i="1"/>
  <c r="BC317" i="1"/>
  <c r="AZ317" i="1"/>
  <c r="AY317" i="1"/>
  <c r="AV317" i="1"/>
  <c r="AU317" i="1"/>
  <c r="AR317" i="1"/>
  <c r="AQ317" i="1"/>
  <c r="AN317" i="1"/>
  <c r="AM317" i="1"/>
  <c r="AJ317" i="1"/>
  <c r="AI317" i="1"/>
  <c r="AF317" i="1"/>
  <c r="AE317" i="1"/>
  <c r="AB317" i="1"/>
  <c r="AA317" i="1"/>
  <c r="X317" i="1"/>
  <c r="W317" i="1"/>
  <c r="T317" i="1"/>
  <c r="S317" i="1"/>
  <c r="P317" i="1"/>
  <c r="O317" i="1"/>
  <c r="L317" i="1"/>
  <c r="K317" i="1"/>
  <c r="H317" i="1"/>
  <c r="G317" i="1"/>
  <c r="D317" i="1"/>
  <c r="C317" i="1"/>
  <c r="CJ316" i="1"/>
  <c r="CI316" i="1"/>
  <c r="CF316" i="1"/>
  <c r="CE316" i="1"/>
  <c r="CB316" i="1"/>
  <c r="CA316" i="1"/>
  <c r="BX316" i="1"/>
  <c r="BW316" i="1"/>
  <c r="BT316" i="1"/>
  <c r="BS316" i="1"/>
  <c r="BP316" i="1"/>
  <c r="BO316" i="1"/>
  <c r="BL316" i="1"/>
  <c r="BK316" i="1"/>
  <c r="BH316" i="1"/>
  <c r="BG316" i="1"/>
  <c r="BD316" i="1"/>
  <c r="BC316" i="1"/>
  <c r="AZ316" i="1"/>
  <c r="AY316" i="1"/>
  <c r="AV316" i="1"/>
  <c r="AU316" i="1"/>
  <c r="AR316" i="1"/>
  <c r="AQ316" i="1"/>
  <c r="AN316" i="1"/>
  <c r="AM316" i="1"/>
  <c r="AJ316" i="1"/>
  <c r="AI316" i="1"/>
  <c r="AF316" i="1"/>
  <c r="AE316" i="1"/>
  <c r="AB316" i="1"/>
  <c r="AA316" i="1"/>
  <c r="X316" i="1"/>
  <c r="W316" i="1"/>
  <c r="T316" i="1"/>
  <c r="S316" i="1"/>
  <c r="P316" i="1"/>
  <c r="O316" i="1"/>
  <c r="L316" i="1"/>
  <c r="K316" i="1"/>
  <c r="H316" i="1"/>
  <c r="G316" i="1"/>
  <c r="D316" i="1"/>
  <c r="C316" i="1"/>
  <c r="CJ315" i="1"/>
  <c r="CI315" i="1"/>
  <c r="CF315" i="1"/>
  <c r="CE315" i="1"/>
  <c r="CB315" i="1"/>
  <c r="CA315" i="1"/>
  <c r="BX315" i="1"/>
  <c r="BW315" i="1"/>
  <c r="BT315" i="1"/>
  <c r="BS315" i="1"/>
  <c r="BP315" i="1"/>
  <c r="BO315" i="1"/>
  <c r="BL315" i="1"/>
  <c r="BK315" i="1"/>
  <c r="BH315" i="1"/>
  <c r="BG315" i="1"/>
  <c r="BD315" i="1"/>
  <c r="BC315" i="1"/>
  <c r="AZ315" i="1"/>
  <c r="AY315" i="1"/>
  <c r="AV315" i="1"/>
  <c r="AU315" i="1"/>
  <c r="AR315" i="1"/>
  <c r="AQ315" i="1"/>
  <c r="AN315" i="1"/>
  <c r="AM315" i="1"/>
  <c r="AJ315" i="1"/>
  <c r="AI315" i="1"/>
  <c r="AF315" i="1"/>
  <c r="AE315" i="1"/>
  <c r="AB315" i="1"/>
  <c r="AA315" i="1"/>
  <c r="X315" i="1"/>
  <c r="W315" i="1"/>
  <c r="T315" i="1"/>
  <c r="S315" i="1"/>
  <c r="P315" i="1"/>
  <c r="O315" i="1"/>
  <c r="L315" i="1"/>
  <c r="K315" i="1"/>
  <c r="H315" i="1"/>
  <c r="G315" i="1"/>
  <c r="D315" i="1"/>
  <c r="C315" i="1"/>
  <c r="CJ314" i="1"/>
  <c r="CI314" i="1"/>
  <c r="CF314" i="1"/>
  <c r="CE314" i="1"/>
  <c r="CB314" i="1"/>
  <c r="CA314" i="1"/>
  <c r="BX314" i="1"/>
  <c r="BW314" i="1"/>
  <c r="BT314" i="1"/>
  <c r="BS314" i="1"/>
  <c r="BP314" i="1"/>
  <c r="BO314" i="1"/>
  <c r="BL314" i="1"/>
  <c r="BK314" i="1"/>
  <c r="BH314" i="1"/>
  <c r="BG314" i="1"/>
  <c r="BD314" i="1"/>
  <c r="BC314" i="1"/>
  <c r="AZ314" i="1"/>
  <c r="AY314" i="1"/>
  <c r="AV314" i="1"/>
  <c r="AU314" i="1"/>
  <c r="AR314" i="1"/>
  <c r="AQ314" i="1"/>
  <c r="AN314" i="1"/>
  <c r="AM314" i="1"/>
  <c r="AJ314" i="1"/>
  <c r="AI314" i="1"/>
  <c r="AF314" i="1"/>
  <c r="AE314" i="1"/>
  <c r="AB314" i="1"/>
  <c r="AA314" i="1"/>
  <c r="X314" i="1"/>
  <c r="W314" i="1"/>
  <c r="T314" i="1"/>
  <c r="S314" i="1"/>
  <c r="P314" i="1"/>
  <c r="O314" i="1"/>
  <c r="L314" i="1"/>
  <c r="K314" i="1"/>
  <c r="H314" i="1"/>
  <c r="G314" i="1"/>
  <c r="D314" i="1"/>
  <c r="C314" i="1"/>
  <c r="CJ313" i="1"/>
  <c r="CI313" i="1"/>
  <c r="CF313" i="1"/>
  <c r="CE313" i="1"/>
  <c r="CB313" i="1"/>
  <c r="CA313" i="1"/>
  <c r="BX313" i="1"/>
  <c r="BW313" i="1"/>
  <c r="BT313" i="1"/>
  <c r="BS313" i="1"/>
  <c r="BP313" i="1"/>
  <c r="BO313" i="1"/>
  <c r="BL313" i="1"/>
  <c r="BK313" i="1"/>
  <c r="BH313" i="1"/>
  <c r="BG313" i="1"/>
  <c r="BD313" i="1"/>
  <c r="BC313" i="1"/>
  <c r="AZ313" i="1"/>
  <c r="AY313" i="1"/>
  <c r="AV313" i="1"/>
  <c r="AU313" i="1"/>
  <c r="AR313" i="1"/>
  <c r="AQ313" i="1"/>
  <c r="AN313" i="1"/>
  <c r="AM313" i="1"/>
  <c r="AJ313" i="1"/>
  <c r="AI313" i="1"/>
  <c r="AF313" i="1"/>
  <c r="AE313" i="1"/>
  <c r="AB313" i="1"/>
  <c r="AA313" i="1"/>
  <c r="X313" i="1"/>
  <c r="W313" i="1"/>
  <c r="T313" i="1"/>
  <c r="S313" i="1"/>
  <c r="P313" i="1"/>
  <c r="O313" i="1"/>
  <c r="L313" i="1"/>
  <c r="K313" i="1"/>
  <c r="H313" i="1"/>
  <c r="G313" i="1"/>
  <c r="D313" i="1"/>
  <c r="C313" i="1"/>
  <c r="CJ312" i="1"/>
  <c r="CI312" i="1"/>
  <c r="CF312" i="1"/>
  <c r="CE312" i="1"/>
  <c r="CB312" i="1"/>
  <c r="CA312" i="1"/>
  <c r="BX312" i="1"/>
  <c r="BW312" i="1"/>
  <c r="BT312" i="1"/>
  <c r="BS312" i="1"/>
  <c r="BP312" i="1"/>
  <c r="BO312" i="1"/>
  <c r="BL312" i="1"/>
  <c r="BK312" i="1"/>
  <c r="BH312" i="1"/>
  <c r="BG312" i="1"/>
  <c r="BD312" i="1"/>
  <c r="BC312" i="1"/>
  <c r="AZ312" i="1"/>
  <c r="AY312" i="1"/>
  <c r="AV312" i="1"/>
  <c r="AU312" i="1"/>
  <c r="AR312" i="1"/>
  <c r="AQ312" i="1"/>
  <c r="AN312" i="1"/>
  <c r="AM312" i="1"/>
  <c r="AJ312" i="1"/>
  <c r="AI312" i="1"/>
  <c r="AF312" i="1"/>
  <c r="AE312" i="1"/>
  <c r="AB312" i="1"/>
  <c r="AA312" i="1"/>
  <c r="X312" i="1"/>
  <c r="W312" i="1"/>
  <c r="T312" i="1"/>
  <c r="S312" i="1"/>
  <c r="P312" i="1"/>
  <c r="O312" i="1"/>
  <c r="L312" i="1"/>
  <c r="K312" i="1"/>
  <c r="H312" i="1"/>
  <c r="G312" i="1"/>
  <c r="D312" i="1"/>
  <c r="C312" i="1"/>
  <c r="CJ311" i="1"/>
  <c r="CI311" i="1"/>
  <c r="CF311" i="1"/>
  <c r="CE311" i="1"/>
  <c r="CB311" i="1"/>
  <c r="CA311" i="1"/>
  <c r="BX311" i="1"/>
  <c r="BW311" i="1"/>
  <c r="BT311" i="1"/>
  <c r="BS311" i="1"/>
  <c r="BP311" i="1"/>
  <c r="BO311" i="1"/>
  <c r="BL311" i="1"/>
  <c r="BK311" i="1"/>
  <c r="BH311" i="1"/>
  <c r="BG311" i="1"/>
  <c r="BD311" i="1"/>
  <c r="BC311" i="1"/>
  <c r="AZ311" i="1"/>
  <c r="AY311" i="1"/>
  <c r="AV311" i="1"/>
  <c r="AU311" i="1"/>
  <c r="AR311" i="1"/>
  <c r="AQ311" i="1"/>
  <c r="AN311" i="1"/>
  <c r="AM311" i="1"/>
  <c r="AJ311" i="1"/>
  <c r="AI311" i="1"/>
  <c r="AF311" i="1"/>
  <c r="AE311" i="1"/>
  <c r="AB311" i="1"/>
  <c r="AA311" i="1"/>
  <c r="X311" i="1"/>
  <c r="W311" i="1"/>
  <c r="T311" i="1"/>
  <c r="S311" i="1"/>
  <c r="P311" i="1"/>
  <c r="O311" i="1"/>
  <c r="L311" i="1"/>
  <c r="K311" i="1"/>
  <c r="H311" i="1"/>
  <c r="G311" i="1"/>
  <c r="D311" i="1"/>
  <c r="C311" i="1"/>
  <c r="CJ309" i="1"/>
  <c r="CI309" i="1"/>
  <c r="CF309" i="1"/>
  <c r="CE309" i="1"/>
  <c r="CB309" i="1"/>
  <c r="CA309" i="1"/>
  <c r="BX309" i="1"/>
  <c r="BW309" i="1"/>
  <c r="BT309" i="1"/>
  <c r="BS309" i="1"/>
  <c r="BP309" i="1"/>
  <c r="BO309" i="1"/>
  <c r="BL309" i="1"/>
  <c r="BK309" i="1"/>
  <c r="BH309" i="1"/>
  <c r="BG309" i="1"/>
  <c r="BD309" i="1"/>
  <c r="BC309" i="1"/>
  <c r="AZ309" i="1"/>
  <c r="AY309" i="1"/>
  <c r="AV309" i="1"/>
  <c r="AU309" i="1"/>
  <c r="AR309" i="1"/>
  <c r="AQ309" i="1"/>
  <c r="AN309" i="1"/>
  <c r="AM309" i="1"/>
  <c r="AJ309" i="1"/>
  <c r="AI309" i="1"/>
  <c r="AF309" i="1"/>
  <c r="AE309" i="1"/>
  <c r="AB309" i="1"/>
  <c r="AA309" i="1"/>
  <c r="X309" i="1"/>
  <c r="W309" i="1"/>
  <c r="T309" i="1"/>
  <c r="S309" i="1"/>
  <c r="P309" i="1"/>
  <c r="O309" i="1"/>
  <c r="L309" i="1"/>
  <c r="K309" i="1"/>
  <c r="H309" i="1"/>
  <c r="G309" i="1"/>
  <c r="D309" i="1"/>
  <c r="C309" i="1"/>
  <c r="CJ308" i="1"/>
  <c r="CI308" i="1"/>
  <c r="CF308" i="1"/>
  <c r="CE308" i="1"/>
  <c r="CB308" i="1"/>
  <c r="CA308" i="1"/>
  <c r="BX308" i="1"/>
  <c r="BW308" i="1"/>
  <c r="BT308" i="1"/>
  <c r="BS308" i="1"/>
  <c r="BP308" i="1"/>
  <c r="BO308" i="1"/>
  <c r="BL308" i="1"/>
  <c r="BK308" i="1"/>
  <c r="BH308" i="1"/>
  <c r="BG308" i="1"/>
  <c r="BD308" i="1"/>
  <c r="BC308" i="1"/>
  <c r="AZ308" i="1"/>
  <c r="AY308" i="1"/>
  <c r="AV308" i="1"/>
  <c r="AU308" i="1"/>
  <c r="AR308" i="1"/>
  <c r="AQ308" i="1"/>
  <c r="AN308" i="1"/>
  <c r="AM308" i="1"/>
  <c r="AJ308" i="1"/>
  <c r="AI308" i="1"/>
  <c r="AF308" i="1"/>
  <c r="AE308" i="1"/>
  <c r="AB308" i="1"/>
  <c r="AA308" i="1"/>
  <c r="X308" i="1"/>
  <c r="W308" i="1"/>
  <c r="T308" i="1"/>
  <c r="S308" i="1"/>
  <c r="P308" i="1"/>
  <c r="O308" i="1"/>
  <c r="L308" i="1"/>
  <c r="K308" i="1"/>
  <c r="H308" i="1"/>
  <c r="G308" i="1"/>
  <c r="D308" i="1"/>
  <c r="C308" i="1"/>
  <c r="CJ307" i="1"/>
  <c r="CI307" i="1"/>
  <c r="CF307" i="1"/>
  <c r="CE307" i="1"/>
  <c r="CB307" i="1"/>
  <c r="CA307" i="1"/>
  <c r="BX307" i="1"/>
  <c r="BW307" i="1"/>
  <c r="BT307" i="1"/>
  <c r="BS307" i="1"/>
  <c r="BP307" i="1"/>
  <c r="BO307" i="1"/>
  <c r="BL307" i="1"/>
  <c r="BK307" i="1"/>
  <c r="BH307" i="1"/>
  <c r="BG307" i="1"/>
  <c r="BD307" i="1"/>
  <c r="BC307" i="1"/>
  <c r="AZ307" i="1"/>
  <c r="AY307" i="1"/>
  <c r="AV307" i="1"/>
  <c r="AU307" i="1"/>
  <c r="AR307" i="1"/>
  <c r="AQ307" i="1"/>
  <c r="AN307" i="1"/>
  <c r="AM307" i="1"/>
  <c r="AJ307" i="1"/>
  <c r="AI307" i="1"/>
  <c r="AF307" i="1"/>
  <c r="AE307" i="1"/>
  <c r="AB307" i="1"/>
  <c r="AA307" i="1"/>
  <c r="X307" i="1"/>
  <c r="W307" i="1"/>
  <c r="T307" i="1"/>
  <c r="S307" i="1"/>
  <c r="P307" i="1"/>
  <c r="O307" i="1"/>
  <c r="L307" i="1"/>
  <c r="K307" i="1"/>
  <c r="H307" i="1"/>
  <c r="G307" i="1"/>
  <c r="D307" i="1"/>
  <c r="C307" i="1"/>
  <c r="CJ306" i="1"/>
  <c r="CI306" i="1"/>
  <c r="CF306" i="1"/>
  <c r="CE306" i="1"/>
  <c r="CB306" i="1"/>
  <c r="CA306" i="1"/>
  <c r="BX306" i="1"/>
  <c r="BW306" i="1"/>
  <c r="BT306" i="1"/>
  <c r="BS306" i="1"/>
  <c r="BP306" i="1"/>
  <c r="BO306" i="1"/>
  <c r="BL306" i="1"/>
  <c r="BK306" i="1"/>
  <c r="BH306" i="1"/>
  <c r="BG306" i="1"/>
  <c r="BD306" i="1"/>
  <c r="BC306" i="1"/>
  <c r="AZ306" i="1"/>
  <c r="AY306" i="1"/>
  <c r="AV306" i="1"/>
  <c r="AU306" i="1"/>
  <c r="AR306" i="1"/>
  <c r="AQ306" i="1"/>
  <c r="AN306" i="1"/>
  <c r="AM306" i="1"/>
  <c r="AJ306" i="1"/>
  <c r="AI306" i="1"/>
  <c r="AF306" i="1"/>
  <c r="AE306" i="1"/>
  <c r="AB306" i="1"/>
  <c r="AA306" i="1"/>
  <c r="X306" i="1"/>
  <c r="W306" i="1"/>
  <c r="T306" i="1"/>
  <c r="S306" i="1"/>
  <c r="P306" i="1"/>
  <c r="O306" i="1"/>
  <c r="L306" i="1"/>
  <c r="K306" i="1"/>
  <c r="H306" i="1"/>
  <c r="G306" i="1"/>
  <c r="D306" i="1"/>
  <c r="C306" i="1"/>
  <c r="CJ305" i="1"/>
  <c r="CI305" i="1"/>
  <c r="CF305" i="1"/>
  <c r="CE305" i="1"/>
  <c r="CB305" i="1"/>
  <c r="CA305" i="1"/>
  <c r="BX305" i="1"/>
  <c r="BW305" i="1"/>
  <c r="BT305" i="1"/>
  <c r="BS305" i="1"/>
  <c r="BP305" i="1"/>
  <c r="BO305" i="1"/>
  <c r="BL305" i="1"/>
  <c r="BK305" i="1"/>
  <c r="BH305" i="1"/>
  <c r="BG305" i="1"/>
  <c r="BD305" i="1"/>
  <c r="BC305" i="1"/>
  <c r="AZ305" i="1"/>
  <c r="AY305" i="1"/>
  <c r="AV305" i="1"/>
  <c r="AU305" i="1"/>
  <c r="AR305" i="1"/>
  <c r="AQ305" i="1"/>
  <c r="AN305" i="1"/>
  <c r="AM305" i="1"/>
  <c r="AJ305" i="1"/>
  <c r="AI305" i="1"/>
  <c r="AF305" i="1"/>
  <c r="AE305" i="1"/>
  <c r="AB305" i="1"/>
  <c r="AA305" i="1"/>
  <c r="X305" i="1"/>
  <c r="W305" i="1"/>
  <c r="T305" i="1"/>
  <c r="S305" i="1"/>
  <c r="P305" i="1"/>
  <c r="O305" i="1"/>
  <c r="L305" i="1"/>
  <c r="K305" i="1"/>
  <c r="H305" i="1"/>
  <c r="G305" i="1"/>
  <c r="D305" i="1"/>
  <c r="C305" i="1"/>
  <c r="CJ304" i="1"/>
  <c r="CI304" i="1"/>
  <c r="CF304" i="1"/>
  <c r="CE304" i="1"/>
  <c r="CB304" i="1"/>
  <c r="CA304" i="1"/>
  <c r="BX304" i="1"/>
  <c r="BW304" i="1"/>
  <c r="BT304" i="1"/>
  <c r="BS304" i="1"/>
  <c r="BP304" i="1"/>
  <c r="BO304" i="1"/>
  <c r="BL304" i="1"/>
  <c r="BK304" i="1"/>
  <c r="BH304" i="1"/>
  <c r="BG304" i="1"/>
  <c r="BD304" i="1"/>
  <c r="BC304" i="1"/>
  <c r="AZ304" i="1"/>
  <c r="AY304" i="1"/>
  <c r="AV304" i="1"/>
  <c r="AU304" i="1"/>
  <c r="AR304" i="1"/>
  <c r="AQ304" i="1"/>
  <c r="AN304" i="1"/>
  <c r="AM304" i="1"/>
  <c r="AJ304" i="1"/>
  <c r="AI304" i="1"/>
  <c r="AF304" i="1"/>
  <c r="AE304" i="1"/>
  <c r="AB304" i="1"/>
  <c r="AA304" i="1"/>
  <c r="X304" i="1"/>
  <c r="W304" i="1"/>
  <c r="T304" i="1"/>
  <c r="S304" i="1"/>
  <c r="P304" i="1"/>
  <c r="O304" i="1"/>
  <c r="L304" i="1"/>
  <c r="K304" i="1"/>
  <c r="H304" i="1"/>
  <c r="G304" i="1"/>
  <c r="D304" i="1"/>
  <c r="C304" i="1"/>
  <c r="CJ303" i="1"/>
  <c r="CI303" i="1"/>
  <c r="CF303" i="1"/>
  <c r="CE303" i="1"/>
  <c r="CB303" i="1"/>
  <c r="CA303" i="1"/>
  <c r="BX303" i="1"/>
  <c r="BW303" i="1"/>
  <c r="BT303" i="1"/>
  <c r="BS303" i="1"/>
  <c r="BP303" i="1"/>
  <c r="BO303" i="1"/>
  <c r="BL303" i="1"/>
  <c r="BK303" i="1"/>
  <c r="BH303" i="1"/>
  <c r="BG303" i="1"/>
  <c r="BD303" i="1"/>
  <c r="BC303" i="1"/>
  <c r="AZ303" i="1"/>
  <c r="AY303" i="1"/>
  <c r="AV303" i="1"/>
  <c r="AU303" i="1"/>
  <c r="AR303" i="1"/>
  <c r="AQ303" i="1"/>
  <c r="AN303" i="1"/>
  <c r="AM303" i="1"/>
  <c r="AJ303" i="1"/>
  <c r="AI303" i="1"/>
  <c r="AF303" i="1"/>
  <c r="AE303" i="1"/>
  <c r="AB303" i="1"/>
  <c r="AA303" i="1"/>
  <c r="X303" i="1"/>
  <c r="W303" i="1"/>
  <c r="T303" i="1"/>
  <c r="S303" i="1"/>
  <c r="P303" i="1"/>
  <c r="O303" i="1"/>
  <c r="L303" i="1"/>
  <c r="K303" i="1"/>
  <c r="H303" i="1"/>
  <c r="G303" i="1"/>
  <c r="D303" i="1"/>
  <c r="C303" i="1"/>
  <c r="CJ302" i="1"/>
  <c r="CI302" i="1"/>
  <c r="CF302" i="1"/>
  <c r="CE302" i="1"/>
  <c r="CB302" i="1"/>
  <c r="CA302" i="1"/>
  <c r="BX302" i="1"/>
  <c r="BW302" i="1"/>
  <c r="BT302" i="1"/>
  <c r="BS302" i="1"/>
  <c r="BP302" i="1"/>
  <c r="BO302" i="1"/>
  <c r="BL302" i="1"/>
  <c r="BK302" i="1"/>
  <c r="BH302" i="1"/>
  <c r="BG302" i="1"/>
  <c r="BD302" i="1"/>
  <c r="BC302" i="1"/>
  <c r="AZ302" i="1"/>
  <c r="AY302" i="1"/>
  <c r="AV302" i="1"/>
  <c r="AU302" i="1"/>
  <c r="AR302" i="1"/>
  <c r="AQ302" i="1"/>
  <c r="AN302" i="1"/>
  <c r="AM302" i="1"/>
  <c r="AJ302" i="1"/>
  <c r="AI302" i="1"/>
  <c r="AF302" i="1"/>
  <c r="AE302" i="1"/>
  <c r="AB302" i="1"/>
  <c r="AA302" i="1"/>
  <c r="X302" i="1"/>
  <c r="W302" i="1"/>
  <c r="T302" i="1"/>
  <c r="S302" i="1"/>
  <c r="P302" i="1"/>
  <c r="O302" i="1"/>
  <c r="L302" i="1"/>
  <c r="K302" i="1"/>
  <c r="H302" i="1"/>
  <c r="G302" i="1"/>
  <c r="D302" i="1"/>
  <c r="C302" i="1"/>
  <c r="CJ300" i="1"/>
  <c r="CI300" i="1"/>
  <c r="CF300" i="1"/>
  <c r="CE300" i="1"/>
  <c r="CB300" i="1"/>
  <c r="CA300" i="1"/>
  <c r="BX300" i="1"/>
  <c r="BW300" i="1"/>
  <c r="BT300" i="1"/>
  <c r="BS300" i="1"/>
  <c r="BP300" i="1"/>
  <c r="BO300" i="1"/>
  <c r="BL300" i="1"/>
  <c r="BK300" i="1"/>
  <c r="BH300" i="1"/>
  <c r="BG300" i="1"/>
  <c r="BD300" i="1"/>
  <c r="BC300" i="1"/>
  <c r="AZ300" i="1"/>
  <c r="AY300" i="1"/>
  <c r="AV300" i="1"/>
  <c r="AU300" i="1"/>
  <c r="AR300" i="1"/>
  <c r="AQ300" i="1"/>
  <c r="AN300" i="1"/>
  <c r="AM300" i="1"/>
  <c r="AJ300" i="1"/>
  <c r="AI300" i="1"/>
  <c r="AF300" i="1"/>
  <c r="AE300" i="1"/>
  <c r="AB300" i="1"/>
  <c r="AA300" i="1"/>
  <c r="X300" i="1"/>
  <c r="W300" i="1"/>
  <c r="T300" i="1"/>
  <c r="S300" i="1"/>
  <c r="P300" i="1"/>
  <c r="O300" i="1"/>
  <c r="L300" i="1"/>
  <c r="K300" i="1"/>
  <c r="H300" i="1"/>
  <c r="G300" i="1"/>
  <c r="D300" i="1"/>
  <c r="C300" i="1"/>
  <c r="CJ299" i="1"/>
  <c r="CI299" i="1"/>
  <c r="CF299" i="1"/>
  <c r="CE299" i="1"/>
  <c r="CB299" i="1"/>
  <c r="CA299" i="1"/>
  <c r="BX299" i="1"/>
  <c r="BW299" i="1"/>
  <c r="BT299" i="1"/>
  <c r="BS299" i="1"/>
  <c r="BP299" i="1"/>
  <c r="BO299" i="1"/>
  <c r="BL299" i="1"/>
  <c r="BK299" i="1"/>
  <c r="BH299" i="1"/>
  <c r="BG299" i="1"/>
  <c r="BD299" i="1"/>
  <c r="BC299" i="1"/>
  <c r="AZ299" i="1"/>
  <c r="AY299" i="1"/>
  <c r="AV299" i="1"/>
  <c r="AU299" i="1"/>
  <c r="AR299" i="1"/>
  <c r="AQ299" i="1"/>
  <c r="AN299" i="1"/>
  <c r="AM299" i="1"/>
  <c r="AJ299" i="1"/>
  <c r="AI299" i="1"/>
  <c r="AF299" i="1"/>
  <c r="AE299" i="1"/>
  <c r="AB299" i="1"/>
  <c r="AA299" i="1"/>
  <c r="X299" i="1"/>
  <c r="W299" i="1"/>
  <c r="T299" i="1"/>
  <c r="S299" i="1"/>
  <c r="P299" i="1"/>
  <c r="O299" i="1"/>
  <c r="L299" i="1"/>
  <c r="K299" i="1"/>
  <c r="H299" i="1"/>
  <c r="G299" i="1"/>
  <c r="D299" i="1"/>
  <c r="C299" i="1"/>
  <c r="CJ298" i="1"/>
  <c r="CI298" i="1"/>
  <c r="CF298" i="1"/>
  <c r="CE298" i="1"/>
  <c r="CB298" i="1"/>
  <c r="CA298" i="1"/>
  <c r="BX298" i="1"/>
  <c r="BW298" i="1"/>
  <c r="BT298" i="1"/>
  <c r="BS298" i="1"/>
  <c r="BP298" i="1"/>
  <c r="BO298" i="1"/>
  <c r="BL298" i="1"/>
  <c r="BK298" i="1"/>
  <c r="BH298" i="1"/>
  <c r="BG298" i="1"/>
  <c r="BD298" i="1"/>
  <c r="BC298" i="1"/>
  <c r="AZ298" i="1"/>
  <c r="AY298" i="1"/>
  <c r="AV298" i="1"/>
  <c r="AU298" i="1"/>
  <c r="AR298" i="1"/>
  <c r="AQ298" i="1"/>
  <c r="AN298" i="1"/>
  <c r="AM298" i="1"/>
  <c r="AJ298" i="1"/>
  <c r="AI298" i="1"/>
  <c r="AF298" i="1"/>
  <c r="AE298" i="1"/>
  <c r="AB298" i="1"/>
  <c r="AA298" i="1"/>
  <c r="X298" i="1"/>
  <c r="W298" i="1"/>
  <c r="T298" i="1"/>
  <c r="S298" i="1"/>
  <c r="P298" i="1"/>
  <c r="O298" i="1"/>
  <c r="L298" i="1"/>
  <c r="K298" i="1"/>
  <c r="H298" i="1"/>
  <c r="G298" i="1"/>
  <c r="D298" i="1"/>
  <c r="C298" i="1"/>
  <c r="CJ297" i="1"/>
  <c r="CI297" i="1"/>
  <c r="CF297" i="1"/>
  <c r="CE297" i="1"/>
  <c r="CB297" i="1"/>
  <c r="CA297" i="1"/>
  <c r="BX297" i="1"/>
  <c r="BW297" i="1"/>
  <c r="BT297" i="1"/>
  <c r="BS297" i="1"/>
  <c r="BP297" i="1"/>
  <c r="BO297" i="1"/>
  <c r="BL297" i="1"/>
  <c r="BK297" i="1"/>
  <c r="BH297" i="1"/>
  <c r="BG297" i="1"/>
  <c r="BD297" i="1"/>
  <c r="BC297" i="1"/>
  <c r="AZ297" i="1"/>
  <c r="AY297" i="1"/>
  <c r="AV297" i="1"/>
  <c r="AU297" i="1"/>
  <c r="AR297" i="1"/>
  <c r="AQ297" i="1"/>
  <c r="AN297" i="1"/>
  <c r="AM297" i="1"/>
  <c r="AJ297" i="1"/>
  <c r="AI297" i="1"/>
  <c r="AF297" i="1"/>
  <c r="AE297" i="1"/>
  <c r="AB297" i="1"/>
  <c r="AA297" i="1"/>
  <c r="X297" i="1"/>
  <c r="W297" i="1"/>
  <c r="T297" i="1"/>
  <c r="S297" i="1"/>
  <c r="P297" i="1"/>
  <c r="O297" i="1"/>
  <c r="L297" i="1"/>
  <c r="K297" i="1"/>
  <c r="H297" i="1"/>
  <c r="G297" i="1"/>
  <c r="D297" i="1"/>
  <c r="C297" i="1"/>
  <c r="CJ296" i="1"/>
  <c r="CI296" i="1"/>
  <c r="CF296" i="1"/>
  <c r="CE296" i="1"/>
  <c r="CB296" i="1"/>
  <c r="CA296" i="1"/>
  <c r="BX296" i="1"/>
  <c r="BW296" i="1"/>
  <c r="BT296" i="1"/>
  <c r="BS296" i="1"/>
  <c r="BP296" i="1"/>
  <c r="BO296" i="1"/>
  <c r="BL296" i="1"/>
  <c r="BK296" i="1"/>
  <c r="BH296" i="1"/>
  <c r="BG296" i="1"/>
  <c r="BD296" i="1"/>
  <c r="BC296" i="1"/>
  <c r="AZ296" i="1"/>
  <c r="AY296" i="1"/>
  <c r="AV296" i="1"/>
  <c r="AU296" i="1"/>
  <c r="AR296" i="1"/>
  <c r="AQ296" i="1"/>
  <c r="AN296" i="1"/>
  <c r="AM296" i="1"/>
  <c r="AJ296" i="1"/>
  <c r="AI296" i="1"/>
  <c r="AF296" i="1"/>
  <c r="AE296" i="1"/>
  <c r="AB296" i="1"/>
  <c r="AA296" i="1"/>
  <c r="X296" i="1"/>
  <c r="W296" i="1"/>
  <c r="T296" i="1"/>
  <c r="S296" i="1"/>
  <c r="P296" i="1"/>
  <c r="O296" i="1"/>
  <c r="L296" i="1"/>
  <c r="K296" i="1"/>
  <c r="H296" i="1"/>
  <c r="G296" i="1"/>
  <c r="D296" i="1"/>
  <c r="C296" i="1"/>
  <c r="CJ295" i="1"/>
  <c r="CI295" i="1"/>
  <c r="CF295" i="1"/>
  <c r="CE295" i="1"/>
  <c r="CB295" i="1"/>
  <c r="CA295" i="1"/>
  <c r="BX295" i="1"/>
  <c r="BW295" i="1"/>
  <c r="BT295" i="1"/>
  <c r="BS295" i="1"/>
  <c r="BP295" i="1"/>
  <c r="BO295" i="1"/>
  <c r="BL295" i="1"/>
  <c r="BK295" i="1"/>
  <c r="BH295" i="1"/>
  <c r="BG295" i="1"/>
  <c r="BD295" i="1"/>
  <c r="BC295" i="1"/>
  <c r="AZ295" i="1"/>
  <c r="AY295" i="1"/>
  <c r="AV295" i="1"/>
  <c r="AU295" i="1"/>
  <c r="AR295" i="1"/>
  <c r="AQ295" i="1"/>
  <c r="AN295" i="1"/>
  <c r="AM295" i="1"/>
  <c r="AJ295" i="1"/>
  <c r="AI295" i="1"/>
  <c r="AF295" i="1"/>
  <c r="AE295" i="1"/>
  <c r="AB295" i="1"/>
  <c r="AA295" i="1"/>
  <c r="X295" i="1"/>
  <c r="W295" i="1"/>
  <c r="T295" i="1"/>
  <c r="S295" i="1"/>
  <c r="P295" i="1"/>
  <c r="O295" i="1"/>
  <c r="L295" i="1"/>
  <c r="K295" i="1"/>
  <c r="H295" i="1"/>
  <c r="G295" i="1"/>
  <c r="D295" i="1"/>
  <c r="C295" i="1"/>
  <c r="CJ294" i="1"/>
  <c r="CI294" i="1"/>
  <c r="CF294" i="1"/>
  <c r="CE294" i="1"/>
  <c r="CB294" i="1"/>
  <c r="CA294" i="1"/>
  <c r="BX294" i="1"/>
  <c r="BW294" i="1"/>
  <c r="BT294" i="1"/>
  <c r="BS294" i="1"/>
  <c r="BP294" i="1"/>
  <c r="BO294" i="1"/>
  <c r="BL294" i="1"/>
  <c r="BK294" i="1"/>
  <c r="BH294" i="1"/>
  <c r="BG294" i="1"/>
  <c r="BD294" i="1"/>
  <c r="BC294" i="1"/>
  <c r="AZ294" i="1"/>
  <c r="AY294" i="1"/>
  <c r="AV294" i="1"/>
  <c r="AU294" i="1"/>
  <c r="AR294" i="1"/>
  <c r="AQ294" i="1"/>
  <c r="AN294" i="1"/>
  <c r="AM294" i="1"/>
  <c r="AJ294" i="1"/>
  <c r="AI294" i="1"/>
  <c r="AF294" i="1"/>
  <c r="AE294" i="1"/>
  <c r="AB294" i="1"/>
  <c r="AA294" i="1"/>
  <c r="X294" i="1"/>
  <c r="W294" i="1"/>
  <c r="T294" i="1"/>
  <c r="S294" i="1"/>
  <c r="P294" i="1"/>
  <c r="O294" i="1"/>
  <c r="L294" i="1"/>
  <c r="K294" i="1"/>
  <c r="H294" i="1"/>
  <c r="G294" i="1"/>
  <c r="D294" i="1"/>
  <c r="C294" i="1"/>
  <c r="CJ293" i="1"/>
  <c r="CI293" i="1"/>
  <c r="CF293" i="1"/>
  <c r="CE293" i="1"/>
  <c r="CB293" i="1"/>
  <c r="CA293" i="1"/>
  <c r="BX293" i="1"/>
  <c r="BW293" i="1"/>
  <c r="BT293" i="1"/>
  <c r="BS293" i="1"/>
  <c r="BP293" i="1"/>
  <c r="BO293" i="1"/>
  <c r="BL293" i="1"/>
  <c r="BK293" i="1"/>
  <c r="BH293" i="1"/>
  <c r="BG293" i="1"/>
  <c r="BD293" i="1"/>
  <c r="BC293" i="1"/>
  <c r="AZ293" i="1"/>
  <c r="AY293" i="1"/>
  <c r="AV293" i="1"/>
  <c r="AU293" i="1"/>
  <c r="AR293" i="1"/>
  <c r="AQ293" i="1"/>
  <c r="AN293" i="1"/>
  <c r="AM293" i="1"/>
  <c r="AJ293" i="1"/>
  <c r="AI293" i="1"/>
  <c r="AF293" i="1"/>
  <c r="AE293" i="1"/>
  <c r="AB293" i="1"/>
  <c r="AA293" i="1"/>
  <c r="X293" i="1"/>
  <c r="W293" i="1"/>
  <c r="T293" i="1"/>
  <c r="S293" i="1"/>
  <c r="P293" i="1"/>
  <c r="O293" i="1"/>
  <c r="L293" i="1"/>
  <c r="K293" i="1"/>
  <c r="H293" i="1"/>
  <c r="G293" i="1"/>
  <c r="D293" i="1"/>
  <c r="C293" i="1"/>
  <c r="CJ291" i="1"/>
  <c r="CI291" i="1"/>
  <c r="CF291" i="1"/>
  <c r="CE291" i="1"/>
  <c r="CB291" i="1"/>
  <c r="CA291" i="1"/>
  <c r="BX291" i="1"/>
  <c r="BW291" i="1"/>
  <c r="BT291" i="1"/>
  <c r="BS291" i="1"/>
  <c r="BP291" i="1"/>
  <c r="BO291" i="1"/>
  <c r="BL291" i="1"/>
  <c r="BK291" i="1"/>
  <c r="BH291" i="1"/>
  <c r="BG291" i="1"/>
  <c r="BD291" i="1"/>
  <c r="BC291" i="1"/>
  <c r="AZ291" i="1"/>
  <c r="AY291" i="1"/>
  <c r="AV291" i="1"/>
  <c r="AU291" i="1"/>
  <c r="AR291" i="1"/>
  <c r="AQ291" i="1"/>
  <c r="AN291" i="1"/>
  <c r="AM291" i="1"/>
  <c r="AJ291" i="1"/>
  <c r="AI291" i="1"/>
  <c r="AF291" i="1"/>
  <c r="AE291" i="1"/>
  <c r="AB291" i="1"/>
  <c r="AA291" i="1"/>
  <c r="X291" i="1"/>
  <c r="W291" i="1"/>
  <c r="T291" i="1"/>
  <c r="S291" i="1"/>
  <c r="P291" i="1"/>
  <c r="O291" i="1"/>
  <c r="L291" i="1"/>
  <c r="K291" i="1"/>
  <c r="H291" i="1"/>
  <c r="G291" i="1"/>
  <c r="D291" i="1"/>
  <c r="C291" i="1"/>
  <c r="CJ290" i="1"/>
  <c r="CI290" i="1"/>
  <c r="CF290" i="1"/>
  <c r="CE290" i="1"/>
  <c r="CB290" i="1"/>
  <c r="CA290" i="1"/>
  <c r="BX290" i="1"/>
  <c r="BW290" i="1"/>
  <c r="BT290" i="1"/>
  <c r="BS290" i="1"/>
  <c r="BP290" i="1"/>
  <c r="BO290" i="1"/>
  <c r="BL290" i="1"/>
  <c r="BK290" i="1"/>
  <c r="BH290" i="1"/>
  <c r="BG290" i="1"/>
  <c r="BD290" i="1"/>
  <c r="BC290" i="1"/>
  <c r="AZ290" i="1"/>
  <c r="AY290" i="1"/>
  <c r="AV290" i="1"/>
  <c r="AU290" i="1"/>
  <c r="AR290" i="1"/>
  <c r="AQ290" i="1"/>
  <c r="AN290" i="1"/>
  <c r="AM290" i="1"/>
  <c r="AJ290" i="1"/>
  <c r="AI290" i="1"/>
  <c r="AF290" i="1"/>
  <c r="AE290" i="1"/>
  <c r="AB290" i="1"/>
  <c r="AA290" i="1"/>
  <c r="X290" i="1"/>
  <c r="W290" i="1"/>
  <c r="T290" i="1"/>
  <c r="S290" i="1"/>
  <c r="P290" i="1"/>
  <c r="O290" i="1"/>
  <c r="L290" i="1"/>
  <c r="K290" i="1"/>
  <c r="H290" i="1"/>
  <c r="G290" i="1"/>
  <c r="D290" i="1"/>
  <c r="C290" i="1"/>
  <c r="CJ289" i="1"/>
  <c r="CI289" i="1"/>
  <c r="CF289" i="1"/>
  <c r="CE289" i="1"/>
  <c r="CB289" i="1"/>
  <c r="CA289" i="1"/>
  <c r="BX289" i="1"/>
  <c r="BW289" i="1"/>
  <c r="BT289" i="1"/>
  <c r="BS289" i="1"/>
  <c r="BP289" i="1"/>
  <c r="BO289" i="1"/>
  <c r="BL289" i="1"/>
  <c r="BK289" i="1"/>
  <c r="BH289" i="1"/>
  <c r="BG289" i="1"/>
  <c r="BD289" i="1"/>
  <c r="BC289" i="1"/>
  <c r="AZ289" i="1"/>
  <c r="AY289" i="1"/>
  <c r="AV289" i="1"/>
  <c r="AU289" i="1"/>
  <c r="AR289" i="1"/>
  <c r="AQ289" i="1"/>
  <c r="AN289" i="1"/>
  <c r="AM289" i="1"/>
  <c r="AJ289" i="1"/>
  <c r="AI289" i="1"/>
  <c r="AF289" i="1"/>
  <c r="AE289" i="1"/>
  <c r="AB289" i="1"/>
  <c r="AA289" i="1"/>
  <c r="X289" i="1"/>
  <c r="W289" i="1"/>
  <c r="T289" i="1"/>
  <c r="S289" i="1"/>
  <c r="P289" i="1"/>
  <c r="O289" i="1"/>
  <c r="L289" i="1"/>
  <c r="K289" i="1"/>
  <c r="H289" i="1"/>
  <c r="G289" i="1"/>
  <c r="D289" i="1"/>
  <c r="C289" i="1"/>
  <c r="CJ288" i="1"/>
  <c r="CI288" i="1"/>
  <c r="CF288" i="1"/>
  <c r="CE288" i="1"/>
  <c r="CB288" i="1"/>
  <c r="CA288" i="1"/>
  <c r="BX288" i="1"/>
  <c r="BW288" i="1"/>
  <c r="BT288" i="1"/>
  <c r="BS288" i="1"/>
  <c r="BP288" i="1"/>
  <c r="BO288" i="1"/>
  <c r="BL288" i="1"/>
  <c r="BK288" i="1"/>
  <c r="BH288" i="1"/>
  <c r="BG288" i="1"/>
  <c r="BD288" i="1"/>
  <c r="BC288" i="1"/>
  <c r="AZ288" i="1"/>
  <c r="AY288" i="1"/>
  <c r="AV288" i="1"/>
  <c r="AU288" i="1"/>
  <c r="AR288" i="1"/>
  <c r="AQ288" i="1"/>
  <c r="AN288" i="1"/>
  <c r="AM288" i="1"/>
  <c r="AJ288" i="1"/>
  <c r="AI288" i="1"/>
  <c r="AF288" i="1"/>
  <c r="AE288" i="1"/>
  <c r="AB288" i="1"/>
  <c r="AA288" i="1"/>
  <c r="X288" i="1"/>
  <c r="W288" i="1"/>
  <c r="T288" i="1"/>
  <c r="S288" i="1"/>
  <c r="P288" i="1"/>
  <c r="O288" i="1"/>
  <c r="L288" i="1"/>
  <c r="K288" i="1"/>
  <c r="H288" i="1"/>
  <c r="G288" i="1"/>
  <c r="D288" i="1"/>
  <c r="C288" i="1"/>
  <c r="CJ287" i="1"/>
  <c r="CI287" i="1"/>
  <c r="CF287" i="1"/>
  <c r="CE287" i="1"/>
  <c r="CB287" i="1"/>
  <c r="CA287" i="1"/>
  <c r="BX287" i="1"/>
  <c r="BW287" i="1"/>
  <c r="BT287" i="1"/>
  <c r="BS287" i="1"/>
  <c r="BP287" i="1"/>
  <c r="BO287" i="1"/>
  <c r="BL287" i="1"/>
  <c r="BK287" i="1"/>
  <c r="BH287" i="1"/>
  <c r="BG287" i="1"/>
  <c r="BD287" i="1"/>
  <c r="BC287" i="1"/>
  <c r="AZ287" i="1"/>
  <c r="AY287" i="1"/>
  <c r="AV287" i="1"/>
  <c r="AU287" i="1"/>
  <c r="AR287" i="1"/>
  <c r="AQ287" i="1"/>
  <c r="AN287" i="1"/>
  <c r="AM287" i="1"/>
  <c r="AJ287" i="1"/>
  <c r="AI287" i="1"/>
  <c r="AF287" i="1"/>
  <c r="AE287" i="1"/>
  <c r="AB287" i="1"/>
  <c r="AA287" i="1"/>
  <c r="X287" i="1"/>
  <c r="W287" i="1"/>
  <c r="T287" i="1"/>
  <c r="S287" i="1"/>
  <c r="P287" i="1"/>
  <c r="O287" i="1"/>
  <c r="L287" i="1"/>
  <c r="K287" i="1"/>
  <c r="H287" i="1"/>
  <c r="G287" i="1"/>
  <c r="D287" i="1"/>
  <c r="C287" i="1"/>
  <c r="CJ286" i="1"/>
  <c r="CI286" i="1"/>
  <c r="CF286" i="1"/>
  <c r="CE286" i="1"/>
  <c r="CB286" i="1"/>
  <c r="CA286" i="1"/>
  <c r="BX286" i="1"/>
  <c r="BW286" i="1"/>
  <c r="BT286" i="1"/>
  <c r="BS286" i="1"/>
  <c r="BP286" i="1"/>
  <c r="BO286" i="1"/>
  <c r="BL286" i="1"/>
  <c r="BK286" i="1"/>
  <c r="BH286" i="1"/>
  <c r="BG286" i="1"/>
  <c r="BD286" i="1"/>
  <c r="BC286" i="1"/>
  <c r="AZ286" i="1"/>
  <c r="AY286" i="1"/>
  <c r="AV286" i="1"/>
  <c r="AU286" i="1"/>
  <c r="AR286" i="1"/>
  <c r="AQ286" i="1"/>
  <c r="AN286" i="1"/>
  <c r="AM286" i="1"/>
  <c r="AJ286" i="1"/>
  <c r="AI286" i="1"/>
  <c r="AF286" i="1"/>
  <c r="AE286" i="1"/>
  <c r="AB286" i="1"/>
  <c r="AA286" i="1"/>
  <c r="X286" i="1"/>
  <c r="W286" i="1"/>
  <c r="T286" i="1"/>
  <c r="S286" i="1"/>
  <c r="P286" i="1"/>
  <c r="O286" i="1"/>
  <c r="L286" i="1"/>
  <c r="K286" i="1"/>
  <c r="H286" i="1"/>
  <c r="G286" i="1"/>
  <c r="D286" i="1"/>
  <c r="C286" i="1"/>
  <c r="CJ285" i="1"/>
  <c r="CI285" i="1"/>
  <c r="CF285" i="1"/>
  <c r="CE285" i="1"/>
  <c r="CB285" i="1"/>
  <c r="CA285" i="1"/>
  <c r="BX285" i="1"/>
  <c r="BW285" i="1"/>
  <c r="BT285" i="1"/>
  <c r="BS285" i="1"/>
  <c r="BP285" i="1"/>
  <c r="BO285" i="1"/>
  <c r="BL285" i="1"/>
  <c r="BK285" i="1"/>
  <c r="BH285" i="1"/>
  <c r="BG285" i="1"/>
  <c r="BD285" i="1"/>
  <c r="BC285" i="1"/>
  <c r="AZ285" i="1"/>
  <c r="AY285" i="1"/>
  <c r="AV285" i="1"/>
  <c r="AU285" i="1"/>
  <c r="AR285" i="1"/>
  <c r="AQ285" i="1"/>
  <c r="AN285" i="1"/>
  <c r="AM285" i="1"/>
  <c r="AJ285" i="1"/>
  <c r="AI285" i="1"/>
  <c r="AF285" i="1"/>
  <c r="AE285" i="1"/>
  <c r="AB285" i="1"/>
  <c r="AA285" i="1"/>
  <c r="X285" i="1"/>
  <c r="W285" i="1"/>
  <c r="T285" i="1"/>
  <c r="S285" i="1"/>
  <c r="P285" i="1"/>
  <c r="O285" i="1"/>
  <c r="L285" i="1"/>
  <c r="K285" i="1"/>
  <c r="H285" i="1"/>
  <c r="G285" i="1"/>
  <c r="D285" i="1"/>
  <c r="C285" i="1"/>
  <c r="CJ284" i="1"/>
  <c r="CI284" i="1"/>
  <c r="CF284" i="1"/>
  <c r="CE284" i="1"/>
  <c r="CB284" i="1"/>
  <c r="CA284" i="1"/>
  <c r="BX284" i="1"/>
  <c r="BW284" i="1"/>
  <c r="BT284" i="1"/>
  <c r="BS284" i="1"/>
  <c r="BP284" i="1"/>
  <c r="BO284" i="1"/>
  <c r="BL284" i="1"/>
  <c r="BK284" i="1"/>
  <c r="BH284" i="1"/>
  <c r="BG284" i="1"/>
  <c r="BD284" i="1"/>
  <c r="BC284" i="1"/>
  <c r="AZ284" i="1"/>
  <c r="AY284" i="1"/>
  <c r="AV284" i="1"/>
  <c r="AU284" i="1"/>
  <c r="AR284" i="1"/>
  <c r="AQ284" i="1"/>
  <c r="AN284" i="1"/>
  <c r="AM284" i="1"/>
  <c r="AJ284" i="1"/>
  <c r="AI284" i="1"/>
  <c r="AF284" i="1"/>
  <c r="AE284" i="1"/>
  <c r="AB284" i="1"/>
  <c r="AA284" i="1"/>
  <c r="X284" i="1"/>
  <c r="W284" i="1"/>
  <c r="T284" i="1"/>
  <c r="S284" i="1"/>
  <c r="P284" i="1"/>
  <c r="O284" i="1"/>
  <c r="L284" i="1"/>
  <c r="K284" i="1"/>
  <c r="H284" i="1"/>
  <c r="G284" i="1"/>
  <c r="D284" i="1"/>
  <c r="C284" i="1"/>
  <c r="CJ282" i="1"/>
  <c r="CI282" i="1"/>
  <c r="CF282" i="1"/>
  <c r="CE282" i="1"/>
  <c r="CB282" i="1"/>
  <c r="CA282" i="1"/>
  <c r="BX282" i="1"/>
  <c r="BW282" i="1"/>
  <c r="BT282" i="1"/>
  <c r="BS282" i="1"/>
  <c r="BP282" i="1"/>
  <c r="BO282" i="1"/>
  <c r="BL282" i="1"/>
  <c r="BK282" i="1"/>
  <c r="BH282" i="1"/>
  <c r="BG282" i="1"/>
  <c r="BD282" i="1"/>
  <c r="BC282" i="1"/>
  <c r="AZ282" i="1"/>
  <c r="AY282" i="1"/>
  <c r="AV282" i="1"/>
  <c r="AU282" i="1"/>
  <c r="AR282" i="1"/>
  <c r="AQ282" i="1"/>
  <c r="AN282" i="1"/>
  <c r="AM282" i="1"/>
  <c r="AJ282" i="1"/>
  <c r="AI282" i="1"/>
  <c r="AF282" i="1"/>
  <c r="AE282" i="1"/>
  <c r="AB282" i="1"/>
  <c r="AA282" i="1"/>
  <c r="X282" i="1"/>
  <c r="W282" i="1"/>
  <c r="T282" i="1"/>
  <c r="S282" i="1"/>
  <c r="P282" i="1"/>
  <c r="O282" i="1"/>
  <c r="L282" i="1"/>
  <c r="K282" i="1"/>
  <c r="H282" i="1"/>
  <c r="G282" i="1"/>
  <c r="D282" i="1"/>
  <c r="C282" i="1"/>
  <c r="CJ281" i="1"/>
  <c r="CI281" i="1"/>
  <c r="CF281" i="1"/>
  <c r="CE281" i="1"/>
  <c r="CB281" i="1"/>
  <c r="CA281" i="1"/>
  <c r="BX281" i="1"/>
  <c r="BW281" i="1"/>
  <c r="BT281" i="1"/>
  <c r="BS281" i="1"/>
  <c r="BP281" i="1"/>
  <c r="BO281" i="1"/>
  <c r="BL281" i="1"/>
  <c r="BK281" i="1"/>
  <c r="BH281" i="1"/>
  <c r="BG281" i="1"/>
  <c r="BD281" i="1"/>
  <c r="BC281" i="1"/>
  <c r="AZ281" i="1"/>
  <c r="AY281" i="1"/>
  <c r="AV281" i="1"/>
  <c r="AU281" i="1"/>
  <c r="AR281" i="1"/>
  <c r="AQ281" i="1"/>
  <c r="AN281" i="1"/>
  <c r="AM281" i="1"/>
  <c r="AJ281" i="1"/>
  <c r="AI281" i="1"/>
  <c r="AF281" i="1"/>
  <c r="AE281" i="1"/>
  <c r="AB281" i="1"/>
  <c r="AA281" i="1"/>
  <c r="X281" i="1"/>
  <c r="W281" i="1"/>
  <c r="T281" i="1"/>
  <c r="S281" i="1"/>
  <c r="P281" i="1"/>
  <c r="O281" i="1"/>
  <c r="L281" i="1"/>
  <c r="K281" i="1"/>
  <c r="H281" i="1"/>
  <c r="G281" i="1"/>
  <c r="D281" i="1"/>
  <c r="C281" i="1"/>
  <c r="CJ280" i="1"/>
  <c r="CI280" i="1"/>
  <c r="CF280" i="1"/>
  <c r="CE280" i="1"/>
  <c r="CB280" i="1"/>
  <c r="CA280" i="1"/>
  <c r="BX280" i="1"/>
  <c r="BW280" i="1"/>
  <c r="BT280" i="1"/>
  <c r="BS280" i="1"/>
  <c r="BP280" i="1"/>
  <c r="BO280" i="1"/>
  <c r="BL280" i="1"/>
  <c r="BK280" i="1"/>
  <c r="BH280" i="1"/>
  <c r="BG280" i="1"/>
  <c r="BD280" i="1"/>
  <c r="BC280" i="1"/>
  <c r="AZ280" i="1"/>
  <c r="AY280" i="1"/>
  <c r="AV280" i="1"/>
  <c r="AU280" i="1"/>
  <c r="AR280" i="1"/>
  <c r="AQ280" i="1"/>
  <c r="AN280" i="1"/>
  <c r="AM280" i="1"/>
  <c r="AJ280" i="1"/>
  <c r="AI280" i="1"/>
  <c r="AF280" i="1"/>
  <c r="AE280" i="1"/>
  <c r="AB280" i="1"/>
  <c r="AA280" i="1"/>
  <c r="X280" i="1"/>
  <c r="W280" i="1"/>
  <c r="T280" i="1"/>
  <c r="S280" i="1"/>
  <c r="P280" i="1"/>
  <c r="O280" i="1"/>
  <c r="L280" i="1"/>
  <c r="K280" i="1"/>
  <c r="H280" i="1"/>
  <c r="G280" i="1"/>
  <c r="D280" i="1"/>
  <c r="C280" i="1"/>
  <c r="CJ279" i="1"/>
  <c r="CI279" i="1"/>
  <c r="CF279" i="1"/>
  <c r="CE279" i="1"/>
  <c r="CB279" i="1"/>
  <c r="CA279" i="1"/>
  <c r="BX279" i="1"/>
  <c r="BW279" i="1"/>
  <c r="BT279" i="1"/>
  <c r="BS279" i="1"/>
  <c r="BP279" i="1"/>
  <c r="BO279" i="1"/>
  <c r="BL279" i="1"/>
  <c r="BK279" i="1"/>
  <c r="BH279" i="1"/>
  <c r="BG279" i="1"/>
  <c r="BD279" i="1"/>
  <c r="BC279" i="1"/>
  <c r="AZ279" i="1"/>
  <c r="AY279" i="1"/>
  <c r="AV279" i="1"/>
  <c r="AU279" i="1"/>
  <c r="AR279" i="1"/>
  <c r="AQ279" i="1"/>
  <c r="AN279" i="1"/>
  <c r="AM279" i="1"/>
  <c r="AJ279" i="1"/>
  <c r="AI279" i="1"/>
  <c r="AF279" i="1"/>
  <c r="AE279" i="1"/>
  <c r="AB279" i="1"/>
  <c r="AA279" i="1"/>
  <c r="X279" i="1"/>
  <c r="W279" i="1"/>
  <c r="T279" i="1"/>
  <c r="S279" i="1"/>
  <c r="P279" i="1"/>
  <c r="O279" i="1"/>
  <c r="L279" i="1"/>
  <c r="K279" i="1"/>
  <c r="H279" i="1"/>
  <c r="G279" i="1"/>
  <c r="D279" i="1"/>
  <c r="C279" i="1"/>
  <c r="CJ277" i="1"/>
  <c r="CI277" i="1"/>
  <c r="CF277" i="1"/>
  <c r="CE277" i="1"/>
  <c r="CB277" i="1"/>
  <c r="CA277" i="1"/>
  <c r="BX277" i="1"/>
  <c r="BW277" i="1"/>
  <c r="BT277" i="1"/>
  <c r="BS277" i="1"/>
  <c r="BP277" i="1"/>
  <c r="BO277" i="1"/>
  <c r="BL277" i="1"/>
  <c r="BK277" i="1"/>
  <c r="BH277" i="1"/>
  <c r="BG277" i="1"/>
  <c r="BD277" i="1"/>
  <c r="BC277" i="1"/>
  <c r="AZ277" i="1"/>
  <c r="AY277" i="1"/>
  <c r="AV277" i="1"/>
  <c r="AU277" i="1"/>
  <c r="AR277" i="1"/>
  <c r="AQ277" i="1"/>
  <c r="AN277" i="1"/>
  <c r="AM277" i="1"/>
  <c r="AJ277" i="1"/>
  <c r="AI277" i="1"/>
  <c r="AF277" i="1"/>
  <c r="AE277" i="1"/>
  <c r="AB277" i="1"/>
  <c r="AA277" i="1"/>
  <c r="X277" i="1"/>
  <c r="W277" i="1"/>
  <c r="T277" i="1"/>
  <c r="S277" i="1"/>
  <c r="P277" i="1"/>
  <c r="O277" i="1"/>
  <c r="L277" i="1"/>
  <c r="K277" i="1"/>
  <c r="H277" i="1"/>
  <c r="G277" i="1"/>
  <c r="D277" i="1"/>
  <c r="C277" i="1"/>
  <c r="CJ276" i="1"/>
  <c r="CI276" i="1"/>
  <c r="CF276" i="1"/>
  <c r="CE276" i="1"/>
  <c r="CB276" i="1"/>
  <c r="CA276" i="1"/>
  <c r="BX276" i="1"/>
  <c r="BW276" i="1"/>
  <c r="BT276" i="1"/>
  <c r="BS276" i="1"/>
  <c r="BP276" i="1"/>
  <c r="BO276" i="1"/>
  <c r="BL276" i="1"/>
  <c r="BK276" i="1"/>
  <c r="BH276" i="1"/>
  <c r="BG276" i="1"/>
  <c r="BD276" i="1"/>
  <c r="BC276" i="1"/>
  <c r="AZ276" i="1"/>
  <c r="AY276" i="1"/>
  <c r="AV276" i="1"/>
  <c r="AU276" i="1"/>
  <c r="AR276" i="1"/>
  <c r="AQ276" i="1"/>
  <c r="AN276" i="1"/>
  <c r="AM276" i="1"/>
  <c r="AJ276" i="1"/>
  <c r="AI276" i="1"/>
  <c r="AF276" i="1"/>
  <c r="AE276" i="1"/>
  <c r="AB276" i="1"/>
  <c r="AA276" i="1"/>
  <c r="X276" i="1"/>
  <c r="W276" i="1"/>
  <c r="T276" i="1"/>
  <c r="S276" i="1"/>
  <c r="P276" i="1"/>
  <c r="O276" i="1"/>
  <c r="L276" i="1"/>
  <c r="K276" i="1"/>
  <c r="H276" i="1"/>
  <c r="G276" i="1"/>
  <c r="D276" i="1"/>
  <c r="C276" i="1"/>
  <c r="CJ275" i="1"/>
  <c r="CI275" i="1"/>
  <c r="CF275" i="1"/>
  <c r="CE275" i="1"/>
  <c r="CB275" i="1"/>
  <c r="CA275" i="1"/>
  <c r="BX275" i="1"/>
  <c r="BW275" i="1"/>
  <c r="BT275" i="1"/>
  <c r="BS275" i="1"/>
  <c r="BP275" i="1"/>
  <c r="BO275" i="1"/>
  <c r="BL275" i="1"/>
  <c r="BK275" i="1"/>
  <c r="BH275" i="1"/>
  <c r="BG275" i="1"/>
  <c r="BD275" i="1"/>
  <c r="BC275" i="1"/>
  <c r="AZ275" i="1"/>
  <c r="AY275" i="1"/>
  <c r="AV275" i="1"/>
  <c r="AU275" i="1"/>
  <c r="AR275" i="1"/>
  <c r="AQ275" i="1"/>
  <c r="AN275" i="1"/>
  <c r="AM275" i="1"/>
  <c r="AJ275" i="1"/>
  <c r="AI275" i="1"/>
  <c r="AF275" i="1"/>
  <c r="AE275" i="1"/>
  <c r="AB275" i="1"/>
  <c r="AA275" i="1"/>
  <c r="X275" i="1"/>
  <c r="W275" i="1"/>
  <c r="T275" i="1"/>
  <c r="S275" i="1"/>
  <c r="P275" i="1"/>
  <c r="O275" i="1"/>
  <c r="L275" i="1"/>
  <c r="K275" i="1"/>
  <c r="H275" i="1"/>
  <c r="G275" i="1"/>
  <c r="D275" i="1"/>
  <c r="C275" i="1"/>
  <c r="CJ274" i="1"/>
  <c r="CI274" i="1"/>
  <c r="CF274" i="1"/>
  <c r="CE274" i="1"/>
  <c r="CB274" i="1"/>
  <c r="CA274" i="1"/>
  <c r="BX274" i="1"/>
  <c r="BW274" i="1"/>
  <c r="BT274" i="1"/>
  <c r="BS274" i="1"/>
  <c r="BP274" i="1"/>
  <c r="BO274" i="1"/>
  <c r="BL274" i="1"/>
  <c r="BK274" i="1"/>
  <c r="BH274" i="1"/>
  <c r="BG274" i="1"/>
  <c r="BD274" i="1"/>
  <c r="BC274" i="1"/>
  <c r="AZ274" i="1"/>
  <c r="AY274" i="1"/>
  <c r="AV274" i="1"/>
  <c r="AU274" i="1"/>
  <c r="AR274" i="1"/>
  <c r="AQ274" i="1"/>
  <c r="AN274" i="1"/>
  <c r="AM274" i="1"/>
  <c r="AJ274" i="1"/>
  <c r="AI274" i="1"/>
  <c r="AF274" i="1"/>
  <c r="AE274" i="1"/>
  <c r="AB274" i="1"/>
  <c r="AA274" i="1"/>
  <c r="X274" i="1"/>
  <c r="W274" i="1"/>
  <c r="T274" i="1"/>
  <c r="S274" i="1"/>
  <c r="P274" i="1"/>
  <c r="O274" i="1"/>
  <c r="L274" i="1"/>
  <c r="K274" i="1"/>
  <c r="H274" i="1"/>
  <c r="G274" i="1"/>
  <c r="D274" i="1"/>
  <c r="C274" i="1"/>
  <c r="CJ272" i="1"/>
  <c r="CI272" i="1"/>
  <c r="CF272" i="1"/>
  <c r="CE272" i="1"/>
  <c r="CB272" i="1"/>
  <c r="CA272" i="1"/>
  <c r="BX272" i="1"/>
  <c r="BW272" i="1"/>
  <c r="BT272" i="1"/>
  <c r="BS272" i="1"/>
  <c r="BP272" i="1"/>
  <c r="BO272" i="1"/>
  <c r="BL272" i="1"/>
  <c r="BK272" i="1"/>
  <c r="BH272" i="1"/>
  <c r="BG272" i="1"/>
  <c r="BD272" i="1"/>
  <c r="BC272" i="1"/>
  <c r="AZ272" i="1"/>
  <c r="AY272" i="1"/>
  <c r="AV272" i="1"/>
  <c r="AU272" i="1"/>
  <c r="AR272" i="1"/>
  <c r="AQ272" i="1"/>
  <c r="AN272" i="1"/>
  <c r="AM272" i="1"/>
  <c r="AJ272" i="1"/>
  <c r="AI272" i="1"/>
  <c r="AF272" i="1"/>
  <c r="AE272" i="1"/>
  <c r="AB272" i="1"/>
  <c r="AA272" i="1"/>
  <c r="X272" i="1"/>
  <c r="W272" i="1"/>
  <c r="T272" i="1"/>
  <c r="S272" i="1"/>
  <c r="P272" i="1"/>
  <c r="O272" i="1"/>
  <c r="L272" i="1"/>
  <c r="K272" i="1"/>
  <c r="H272" i="1"/>
  <c r="G272" i="1"/>
  <c r="D272" i="1"/>
  <c r="C272" i="1"/>
  <c r="CJ271" i="1"/>
  <c r="CI271" i="1"/>
  <c r="CF271" i="1"/>
  <c r="CE271" i="1"/>
  <c r="CB271" i="1"/>
  <c r="CA271" i="1"/>
  <c r="BX271" i="1"/>
  <c r="BW271" i="1"/>
  <c r="BT271" i="1"/>
  <c r="BS271" i="1"/>
  <c r="BP271" i="1"/>
  <c r="BO271" i="1"/>
  <c r="BL271" i="1"/>
  <c r="BK271" i="1"/>
  <c r="BH271" i="1"/>
  <c r="BG271" i="1"/>
  <c r="BD271" i="1"/>
  <c r="BC271" i="1"/>
  <c r="AZ271" i="1"/>
  <c r="AY271" i="1"/>
  <c r="AV271" i="1"/>
  <c r="AU271" i="1"/>
  <c r="AR271" i="1"/>
  <c r="AQ271" i="1"/>
  <c r="AN271" i="1"/>
  <c r="AM271" i="1"/>
  <c r="AJ271" i="1"/>
  <c r="AI271" i="1"/>
  <c r="AF271" i="1"/>
  <c r="AE271" i="1"/>
  <c r="AB271" i="1"/>
  <c r="AA271" i="1"/>
  <c r="X271" i="1"/>
  <c r="W271" i="1"/>
  <c r="T271" i="1"/>
  <c r="S271" i="1"/>
  <c r="P271" i="1"/>
  <c r="O271" i="1"/>
  <c r="L271" i="1"/>
  <c r="K271" i="1"/>
  <c r="H271" i="1"/>
  <c r="G271" i="1"/>
  <c r="D271" i="1"/>
  <c r="C271" i="1"/>
  <c r="CJ270" i="1"/>
  <c r="CI270" i="1"/>
  <c r="CF270" i="1"/>
  <c r="CE270" i="1"/>
  <c r="CB270" i="1"/>
  <c r="CA270" i="1"/>
  <c r="BX270" i="1"/>
  <c r="BW270" i="1"/>
  <c r="BT270" i="1"/>
  <c r="BS270" i="1"/>
  <c r="BP270" i="1"/>
  <c r="BO270" i="1"/>
  <c r="BL270" i="1"/>
  <c r="BK270" i="1"/>
  <c r="BH270" i="1"/>
  <c r="BG270" i="1"/>
  <c r="BD270" i="1"/>
  <c r="BC270" i="1"/>
  <c r="AZ270" i="1"/>
  <c r="AY270" i="1"/>
  <c r="AV270" i="1"/>
  <c r="AU270" i="1"/>
  <c r="AR270" i="1"/>
  <c r="AQ270" i="1"/>
  <c r="AN270" i="1"/>
  <c r="AM270" i="1"/>
  <c r="AJ270" i="1"/>
  <c r="AI270" i="1"/>
  <c r="AF270" i="1"/>
  <c r="AE270" i="1"/>
  <c r="AB270" i="1"/>
  <c r="AA270" i="1"/>
  <c r="X270" i="1"/>
  <c r="W270" i="1"/>
  <c r="T270" i="1"/>
  <c r="S270" i="1"/>
  <c r="P270" i="1"/>
  <c r="O270" i="1"/>
  <c r="L270" i="1"/>
  <c r="K270" i="1"/>
  <c r="H270" i="1"/>
  <c r="G270" i="1"/>
  <c r="D270" i="1"/>
  <c r="C270" i="1"/>
  <c r="CJ269" i="1"/>
  <c r="CI269" i="1"/>
  <c r="CF269" i="1"/>
  <c r="CE269" i="1"/>
  <c r="CB269" i="1"/>
  <c r="CA269" i="1"/>
  <c r="BX269" i="1"/>
  <c r="BW269" i="1"/>
  <c r="BT269" i="1"/>
  <c r="BS269" i="1"/>
  <c r="BP269" i="1"/>
  <c r="BO269" i="1"/>
  <c r="BL269" i="1"/>
  <c r="BK269" i="1"/>
  <c r="BH269" i="1"/>
  <c r="BG269" i="1"/>
  <c r="BD269" i="1"/>
  <c r="BC269" i="1"/>
  <c r="AZ269" i="1"/>
  <c r="AY269" i="1"/>
  <c r="AV269" i="1"/>
  <c r="AU269" i="1"/>
  <c r="AR269" i="1"/>
  <c r="AQ269" i="1"/>
  <c r="AN269" i="1"/>
  <c r="AM269" i="1"/>
  <c r="AJ269" i="1"/>
  <c r="AI269" i="1"/>
  <c r="AF269" i="1"/>
  <c r="AE269" i="1"/>
  <c r="AB269" i="1"/>
  <c r="AA269" i="1"/>
  <c r="X269" i="1"/>
  <c r="W269" i="1"/>
  <c r="T269" i="1"/>
  <c r="S269" i="1"/>
  <c r="P269" i="1"/>
  <c r="O269" i="1"/>
  <c r="L269" i="1"/>
  <c r="K269" i="1"/>
  <c r="H269" i="1"/>
  <c r="G269" i="1"/>
  <c r="D269" i="1"/>
  <c r="C269" i="1"/>
  <c r="CJ267" i="1"/>
  <c r="CI267" i="1"/>
  <c r="CF267" i="1"/>
  <c r="CE267" i="1"/>
  <c r="CB267" i="1"/>
  <c r="CA267" i="1"/>
  <c r="BX267" i="1"/>
  <c r="BW267" i="1"/>
  <c r="BT267" i="1"/>
  <c r="BS267" i="1"/>
  <c r="BP267" i="1"/>
  <c r="BO267" i="1"/>
  <c r="BL267" i="1"/>
  <c r="BK267" i="1"/>
  <c r="BH267" i="1"/>
  <c r="BG267" i="1"/>
  <c r="BD267" i="1"/>
  <c r="BC267" i="1"/>
  <c r="AZ267" i="1"/>
  <c r="AY267" i="1"/>
  <c r="AV267" i="1"/>
  <c r="AU267" i="1"/>
  <c r="AR267" i="1"/>
  <c r="AQ267" i="1"/>
  <c r="AN267" i="1"/>
  <c r="AM267" i="1"/>
  <c r="AJ267" i="1"/>
  <c r="AI267" i="1"/>
  <c r="AF267" i="1"/>
  <c r="AE267" i="1"/>
  <c r="AB267" i="1"/>
  <c r="AA267" i="1"/>
  <c r="X267" i="1"/>
  <c r="W267" i="1"/>
  <c r="T267" i="1"/>
  <c r="S267" i="1"/>
  <c r="P267" i="1"/>
  <c r="O267" i="1"/>
  <c r="L267" i="1"/>
  <c r="K267" i="1"/>
  <c r="H267" i="1"/>
  <c r="G267" i="1"/>
  <c r="D267" i="1"/>
  <c r="C267" i="1"/>
  <c r="CJ266" i="1"/>
  <c r="CI266" i="1"/>
  <c r="CF266" i="1"/>
  <c r="CE266" i="1"/>
  <c r="CB266" i="1"/>
  <c r="CA266" i="1"/>
  <c r="BX266" i="1"/>
  <c r="BW266" i="1"/>
  <c r="BT266" i="1"/>
  <c r="BS266" i="1"/>
  <c r="BP266" i="1"/>
  <c r="BO266" i="1"/>
  <c r="BL266" i="1"/>
  <c r="BK266" i="1"/>
  <c r="BH266" i="1"/>
  <c r="BG266" i="1"/>
  <c r="BD266" i="1"/>
  <c r="BC266" i="1"/>
  <c r="AZ266" i="1"/>
  <c r="AY266" i="1"/>
  <c r="AV266" i="1"/>
  <c r="AU266" i="1"/>
  <c r="AR266" i="1"/>
  <c r="AQ266" i="1"/>
  <c r="AN266" i="1"/>
  <c r="AM266" i="1"/>
  <c r="AJ266" i="1"/>
  <c r="AI266" i="1"/>
  <c r="AF266" i="1"/>
  <c r="AE266" i="1"/>
  <c r="AB266" i="1"/>
  <c r="AA266" i="1"/>
  <c r="X266" i="1"/>
  <c r="W266" i="1"/>
  <c r="T266" i="1"/>
  <c r="S266" i="1"/>
  <c r="P266" i="1"/>
  <c r="O266" i="1"/>
  <c r="L266" i="1"/>
  <c r="K266" i="1"/>
  <c r="H266" i="1"/>
  <c r="G266" i="1"/>
  <c r="D266" i="1"/>
  <c r="C266" i="1"/>
  <c r="CJ265" i="1"/>
  <c r="CI265" i="1"/>
  <c r="CF265" i="1"/>
  <c r="CE265" i="1"/>
  <c r="CB265" i="1"/>
  <c r="CA265" i="1"/>
  <c r="BX265" i="1"/>
  <c r="BW265" i="1"/>
  <c r="BT265" i="1"/>
  <c r="BS265" i="1"/>
  <c r="BP265" i="1"/>
  <c r="BO265" i="1"/>
  <c r="BL265" i="1"/>
  <c r="BK265" i="1"/>
  <c r="BH265" i="1"/>
  <c r="BG265" i="1"/>
  <c r="BD265" i="1"/>
  <c r="BC265" i="1"/>
  <c r="AZ265" i="1"/>
  <c r="AY265" i="1"/>
  <c r="AV265" i="1"/>
  <c r="AU265" i="1"/>
  <c r="AR265" i="1"/>
  <c r="AQ265" i="1"/>
  <c r="AN265" i="1"/>
  <c r="AM265" i="1"/>
  <c r="AJ265" i="1"/>
  <c r="AI265" i="1"/>
  <c r="AF265" i="1"/>
  <c r="AE265" i="1"/>
  <c r="AB265" i="1"/>
  <c r="AA265" i="1"/>
  <c r="X265" i="1"/>
  <c r="W265" i="1"/>
  <c r="T265" i="1"/>
  <c r="S265" i="1"/>
  <c r="P265" i="1"/>
  <c r="O265" i="1"/>
  <c r="L265" i="1"/>
  <c r="K265" i="1"/>
  <c r="H265" i="1"/>
  <c r="G265" i="1"/>
  <c r="D265" i="1"/>
  <c r="C265" i="1"/>
  <c r="CJ264" i="1"/>
  <c r="CI264" i="1"/>
  <c r="CF264" i="1"/>
  <c r="CE264" i="1"/>
  <c r="CB264" i="1"/>
  <c r="CA264" i="1"/>
  <c r="BX264" i="1"/>
  <c r="BW264" i="1"/>
  <c r="BT264" i="1"/>
  <c r="BS264" i="1"/>
  <c r="BP264" i="1"/>
  <c r="BO264" i="1"/>
  <c r="BL264" i="1"/>
  <c r="BK264" i="1"/>
  <c r="BH264" i="1"/>
  <c r="BG264" i="1"/>
  <c r="BD264" i="1"/>
  <c r="BC264" i="1"/>
  <c r="AZ264" i="1"/>
  <c r="AY264" i="1"/>
  <c r="AV264" i="1"/>
  <c r="AU264" i="1"/>
  <c r="AR264" i="1"/>
  <c r="AQ264" i="1"/>
  <c r="AN264" i="1"/>
  <c r="AM264" i="1"/>
  <c r="AJ264" i="1"/>
  <c r="AI264" i="1"/>
  <c r="AF264" i="1"/>
  <c r="AE264" i="1"/>
  <c r="AB264" i="1"/>
  <c r="AA264" i="1"/>
  <c r="X264" i="1"/>
  <c r="W264" i="1"/>
  <c r="T264" i="1"/>
  <c r="S264" i="1"/>
  <c r="P264" i="1"/>
  <c r="O264" i="1"/>
  <c r="L264" i="1"/>
  <c r="K264" i="1"/>
  <c r="H264" i="1"/>
  <c r="G264" i="1"/>
  <c r="D264" i="1"/>
  <c r="C264" i="1"/>
  <c r="CJ262" i="1"/>
  <c r="CI262" i="1"/>
  <c r="CF262" i="1"/>
  <c r="CE262" i="1"/>
  <c r="CB262" i="1"/>
  <c r="CA262" i="1"/>
  <c r="BX262" i="1"/>
  <c r="BW262" i="1"/>
  <c r="BT262" i="1"/>
  <c r="BS262" i="1"/>
  <c r="BP262" i="1"/>
  <c r="BO262" i="1"/>
  <c r="BL262" i="1"/>
  <c r="BK262" i="1"/>
  <c r="BH262" i="1"/>
  <c r="BG262" i="1"/>
  <c r="BD262" i="1"/>
  <c r="BC262" i="1"/>
  <c r="AZ262" i="1"/>
  <c r="AY262" i="1"/>
  <c r="AV262" i="1"/>
  <c r="AU262" i="1"/>
  <c r="AR262" i="1"/>
  <c r="AQ262" i="1"/>
  <c r="AN262" i="1"/>
  <c r="AM262" i="1"/>
  <c r="AJ262" i="1"/>
  <c r="AI262" i="1"/>
  <c r="AF262" i="1"/>
  <c r="AE262" i="1"/>
  <c r="AB262" i="1"/>
  <c r="AA262" i="1"/>
  <c r="X262" i="1"/>
  <c r="W262" i="1"/>
  <c r="T262" i="1"/>
  <c r="S262" i="1"/>
  <c r="P262" i="1"/>
  <c r="O262" i="1"/>
  <c r="L262" i="1"/>
  <c r="K262" i="1"/>
  <c r="H262" i="1"/>
  <c r="G262" i="1"/>
  <c r="D262" i="1"/>
  <c r="C262" i="1"/>
  <c r="CJ261" i="1"/>
  <c r="CI261" i="1"/>
  <c r="CF261" i="1"/>
  <c r="CE261" i="1"/>
  <c r="CB261" i="1"/>
  <c r="CA261" i="1"/>
  <c r="BX261" i="1"/>
  <c r="BW261" i="1"/>
  <c r="BT261" i="1"/>
  <c r="BS261" i="1"/>
  <c r="BP261" i="1"/>
  <c r="BO261" i="1"/>
  <c r="BL261" i="1"/>
  <c r="BK261" i="1"/>
  <c r="BH261" i="1"/>
  <c r="BG261" i="1"/>
  <c r="BD261" i="1"/>
  <c r="BC261" i="1"/>
  <c r="AZ261" i="1"/>
  <c r="AY261" i="1"/>
  <c r="AV261" i="1"/>
  <c r="AU261" i="1"/>
  <c r="AR261" i="1"/>
  <c r="AQ261" i="1"/>
  <c r="AN261" i="1"/>
  <c r="AM261" i="1"/>
  <c r="AJ261" i="1"/>
  <c r="AI261" i="1"/>
  <c r="AF261" i="1"/>
  <c r="AE261" i="1"/>
  <c r="AB261" i="1"/>
  <c r="AA261" i="1"/>
  <c r="X261" i="1"/>
  <c r="W261" i="1"/>
  <c r="T261" i="1"/>
  <c r="S261" i="1"/>
  <c r="P261" i="1"/>
  <c r="O261" i="1"/>
  <c r="L261" i="1"/>
  <c r="K261" i="1"/>
  <c r="H261" i="1"/>
  <c r="G261" i="1"/>
  <c r="D261" i="1"/>
  <c r="C261" i="1"/>
  <c r="CJ260" i="1"/>
  <c r="CI260" i="1"/>
  <c r="CF260" i="1"/>
  <c r="CE260" i="1"/>
  <c r="CB260" i="1"/>
  <c r="CA260" i="1"/>
  <c r="BX260" i="1"/>
  <c r="BW260" i="1"/>
  <c r="BT260" i="1"/>
  <c r="BS260" i="1"/>
  <c r="BP260" i="1"/>
  <c r="BO260" i="1"/>
  <c r="BL260" i="1"/>
  <c r="BK260" i="1"/>
  <c r="BH260" i="1"/>
  <c r="BG260" i="1"/>
  <c r="BD260" i="1"/>
  <c r="BC260" i="1"/>
  <c r="AZ260" i="1"/>
  <c r="AY260" i="1"/>
  <c r="AV260" i="1"/>
  <c r="AU260" i="1"/>
  <c r="AR260" i="1"/>
  <c r="AQ260" i="1"/>
  <c r="AN260" i="1"/>
  <c r="AM260" i="1"/>
  <c r="AJ260" i="1"/>
  <c r="AI260" i="1"/>
  <c r="AF260" i="1"/>
  <c r="AE260" i="1"/>
  <c r="AB260" i="1"/>
  <c r="AA260" i="1"/>
  <c r="X260" i="1"/>
  <c r="W260" i="1"/>
  <c r="T260" i="1"/>
  <c r="S260" i="1"/>
  <c r="P260" i="1"/>
  <c r="O260" i="1"/>
  <c r="L260" i="1"/>
  <c r="K260" i="1"/>
  <c r="H260" i="1"/>
  <c r="G260" i="1"/>
  <c r="D260" i="1"/>
  <c r="C260" i="1"/>
  <c r="CJ259" i="1"/>
  <c r="CI259" i="1"/>
  <c r="CF259" i="1"/>
  <c r="CE259" i="1"/>
  <c r="CB259" i="1"/>
  <c r="CA259" i="1"/>
  <c r="BX259" i="1"/>
  <c r="BW259" i="1"/>
  <c r="BT259" i="1"/>
  <c r="BS259" i="1"/>
  <c r="BP259" i="1"/>
  <c r="BO259" i="1"/>
  <c r="BL259" i="1"/>
  <c r="BK259" i="1"/>
  <c r="BH259" i="1"/>
  <c r="BG259" i="1"/>
  <c r="BD259" i="1"/>
  <c r="BC259" i="1"/>
  <c r="AZ259" i="1"/>
  <c r="AY259" i="1"/>
  <c r="AV259" i="1"/>
  <c r="AU259" i="1"/>
  <c r="AR259" i="1"/>
  <c r="AQ259" i="1"/>
  <c r="AN259" i="1"/>
  <c r="AM259" i="1"/>
  <c r="AJ259" i="1"/>
  <c r="AI259" i="1"/>
  <c r="AF259" i="1"/>
  <c r="AE259" i="1"/>
  <c r="AB259" i="1"/>
  <c r="AA259" i="1"/>
  <c r="X259" i="1"/>
  <c r="W259" i="1"/>
  <c r="T259" i="1"/>
  <c r="S259" i="1"/>
  <c r="P259" i="1"/>
  <c r="O259" i="1"/>
  <c r="L259" i="1"/>
  <c r="K259" i="1"/>
  <c r="H259" i="1"/>
  <c r="G259" i="1"/>
  <c r="D259" i="1"/>
  <c r="C259" i="1"/>
  <c r="CJ257" i="1"/>
  <c r="CI257" i="1"/>
  <c r="CF257" i="1"/>
  <c r="CE257" i="1"/>
  <c r="CB257" i="1"/>
  <c r="CA257" i="1"/>
  <c r="BX257" i="1"/>
  <c r="BW257" i="1"/>
  <c r="BT257" i="1"/>
  <c r="BS257" i="1"/>
  <c r="BP257" i="1"/>
  <c r="BO257" i="1"/>
  <c r="BL257" i="1"/>
  <c r="BK257" i="1"/>
  <c r="BH257" i="1"/>
  <c r="BG257" i="1"/>
  <c r="BD257" i="1"/>
  <c r="BC257" i="1"/>
  <c r="AZ257" i="1"/>
  <c r="AY257" i="1"/>
  <c r="AV257" i="1"/>
  <c r="AU257" i="1"/>
  <c r="AR257" i="1"/>
  <c r="AQ257" i="1"/>
  <c r="AN257" i="1"/>
  <c r="AM257" i="1"/>
  <c r="AJ257" i="1"/>
  <c r="AI257" i="1"/>
  <c r="AF257" i="1"/>
  <c r="AE257" i="1"/>
  <c r="AB257" i="1"/>
  <c r="AA257" i="1"/>
  <c r="X257" i="1"/>
  <c r="W257" i="1"/>
  <c r="T257" i="1"/>
  <c r="S257" i="1"/>
  <c r="P257" i="1"/>
  <c r="O257" i="1"/>
  <c r="L257" i="1"/>
  <c r="K257" i="1"/>
  <c r="H257" i="1"/>
  <c r="G257" i="1"/>
  <c r="D257" i="1"/>
  <c r="C257" i="1"/>
  <c r="CJ256" i="1"/>
  <c r="CI256" i="1"/>
  <c r="CF256" i="1"/>
  <c r="CE256" i="1"/>
  <c r="CB256" i="1"/>
  <c r="CA256" i="1"/>
  <c r="BX256" i="1"/>
  <c r="BW256" i="1"/>
  <c r="BT256" i="1"/>
  <c r="BS256" i="1"/>
  <c r="BP256" i="1"/>
  <c r="BO256" i="1"/>
  <c r="BL256" i="1"/>
  <c r="BK256" i="1"/>
  <c r="BH256" i="1"/>
  <c r="BG256" i="1"/>
  <c r="BD256" i="1"/>
  <c r="BC256" i="1"/>
  <c r="AZ256" i="1"/>
  <c r="AY256" i="1"/>
  <c r="AV256" i="1"/>
  <c r="AU256" i="1"/>
  <c r="AR256" i="1"/>
  <c r="AQ256" i="1"/>
  <c r="AN256" i="1"/>
  <c r="AM256" i="1"/>
  <c r="AJ256" i="1"/>
  <c r="AI256" i="1"/>
  <c r="AF256" i="1"/>
  <c r="AE256" i="1"/>
  <c r="AB256" i="1"/>
  <c r="AA256" i="1"/>
  <c r="X256" i="1"/>
  <c r="W256" i="1"/>
  <c r="T256" i="1"/>
  <c r="S256" i="1"/>
  <c r="P256" i="1"/>
  <c r="O256" i="1"/>
  <c r="L256" i="1"/>
  <c r="K256" i="1"/>
  <c r="H256" i="1"/>
  <c r="G256" i="1"/>
  <c r="D256" i="1"/>
  <c r="C256" i="1"/>
  <c r="CJ255" i="1"/>
  <c r="CI255" i="1"/>
  <c r="CF255" i="1"/>
  <c r="CE255" i="1"/>
  <c r="CB255" i="1"/>
  <c r="CA255" i="1"/>
  <c r="BX255" i="1"/>
  <c r="BW255" i="1"/>
  <c r="BT255" i="1"/>
  <c r="BS255" i="1"/>
  <c r="BP255" i="1"/>
  <c r="BO255" i="1"/>
  <c r="BL255" i="1"/>
  <c r="BK255" i="1"/>
  <c r="BH255" i="1"/>
  <c r="BG255" i="1"/>
  <c r="BD255" i="1"/>
  <c r="BC255" i="1"/>
  <c r="AZ255" i="1"/>
  <c r="AY255" i="1"/>
  <c r="AV255" i="1"/>
  <c r="AU255" i="1"/>
  <c r="AR255" i="1"/>
  <c r="AQ255" i="1"/>
  <c r="AN255" i="1"/>
  <c r="AM255" i="1"/>
  <c r="AJ255" i="1"/>
  <c r="AI255" i="1"/>
  <c r="AF255" i="1"/>
  <c r="AE255" i="1"/>
  <c r="AB255" i="1"/>
  <c r="AA255" i="1"/>
  <c r="X255" i="1"/>
  <c r="W255" i="1"/>
  <c r="T255" i="1"/>
  <c r="S255" i="1"/>
  <c r="P255" i="1"/>
  <c r="O255" i="1"/>
  <c r="L255" i="1"/>
  <c r="K255" i="1"/>
  <c r="H255" i="1"/>
  <c r="G255" i="1"/>
  <c r="D255" i="1"/>
  <c r="C255" i="1"/>
  <c r="CJ254" i="1"/>
  <c r="CI254" i="1"/>
  <c r="CF254" i="1"/>
  <c r="CE254" i="1"/>
  <c r="CB254" i="1"/>
  <c r="CA254" i="1"/>
  <c r="BX254" i="1"/>
  <c r="BW254" i="1"/>
  <c r="BT254" i="1"/>
  <c r="BS254" i="1"/>
  <c r="BP254" i="1"/>
  <c r="BO254" i="1"/>
  <c r="BL254" i="1"/>
  <c r="BK254" i="1"/>
  <c r="BH254" i="1"/>
  <c r="BG254" i="1"/>
  <c r="BD254" i="1"/>
  <c r="BC254" i="1"/>
  <c r="AZ254" i="1"/>
  <c r="AY254" i="1"/>
  <c r="AV254" i="1"/>
  <c r="AU254" i="1"/>
  <c r="AR254" i="1"/>
  <c r="AQ254" i="1"/>
  <c r="AN254" i="1"/>
  <c r="AM254" i="1"/>
  <c r="AJ254" i="1"/>
  <c r="AI254" i="1"/>
  <c r="AF254" i="1"/>
  <c r="AE254" i="1"/>
  <c r="AB254" i="1"/>
  <c r="AA254" i="1"/>
  <c r="X254" i="1"/>
  <c r="W254" i="1"/>
  <c r="T254" i="1"/>
  <c r="S254" i="1"/>
  <c r="P254" i="1"/>
  <c r="O254" i="1"/>
  <c r="L254" i="1"/>
  <c r="K254" i="1"/>
  <c r="H254" i="1"/>
  <c r="G254" i="1"/>
  <c r="D254" i="1"/>
  <c r="C254" i="1"/>
  <c r="CJ252" i="1"/>
  <c r="CI252" i="1"/>
  <c r="CF252" i="1"/>
  <c r="CE252" i="1"/>
  <c r="CB252" i="1"/>
  <c r="CA252" i="1"/>
  <c r="BX252" i="1"/>
  <c r="BW252" i="1"/>
  <c r="BT252" i="1"/>
  <c r="BS252" i="1"/>
  <c r="BP252" i="1"/>
  <c r="BO252" i="1"/>
  <c r="BL252" i="1"/>
  <c r="BK252" i="1"/>
  <c r="BH252" i="1"/>
  <c r="BG252" i="1"/>
  <c r="BD252" i="1"/>
  <c r="BC252" i="1"/>
  <c r="AZ252" i="1"/>
  <c r="AY252" i="1"/>
  <c r="AV252" i="1"/>
  <c r="AU252" i="1"/>
  <c r="AR252" i="1"/>
  <c r="AQ252" i="1"/>
  <c r="AN252" i="1"/>
  <c r="AM252" i="1"/>
  <c r="AJ252" i="1"/>
  <c r="AI252" i="1"/>
  <c r="AF252" i="1"/>
  <c r="AE252" i="1"/>
  <c r="AB252" i="1"/>
  <c r="AA252" i="1"/>
  <c r="X252" i="1"/>
  <c r="W252" i="1"/>
  <c r="T252" i="1"/>
  <c r="S252" i="1"/>
  <c r="P252" i="1"/>
  <c r="O252" i="1"/>
  <c r="L252" i="1"/>
  <c r="K252" i="1"/>
  <c r="H252" i="1"/>
  <c r="G252" i="1"/>
  <c r="D252" i="1"/>
  <c r="C252" i="1"/>
  <c r="CJ251" i="1"/>
  <c r="CI251" i="1"/>
  <c r="CF251" i="1"/>
  <c r="CE251" i="1"/>
  <c r="CB251" i="1"/>
  <c r="CA251" i="1"/>
  <c r="BX251" i="1"/>
  <c r="BW251" i="1"/>
  <c r="BT251" i="1"/>
  <c r="BS251" i="1"/>
  <c r="BP251" i="1"/>
  <c r="BO251" i="1"/>
  <c r="BL251" i="1"/>
  <c r="BK251" i="1"/>
  <c r="BH251" i="1"/>
  <c r="BG251" i="1"/>
  <c r="BD251" i="1"/>
  <c r="BC251" i="1"/>
  <c r="AZ251" i="1"/>
  <c r="AY251" i="1"/>
  <c r="AV251" i="1"/>
  <c r="AU251" i="1"/>
  <c r="AR251" i="1"/>
  <c r="AQ251" i="1"/>
  <c r="AN251" i="1"/>
  <c r="AM251" i="1"/>
  <c r="AJ251" i="1"/>
  <c r="AI251" i="1"/>
  <c r="AF251" i="1"/>
  <c r="AE251" i="1"/>
  <c r="AB251" i="1"/>
  <c r="AA251" i="1"/>
  <c r="X251" i="1"/>
  <c r="W251" i="1"/>
  <c r="T251" i="1"/>
  <c r="S251" i="1"/>
  <c r="P251" i="1"/>
  <c r="O251" i="1"/>
  <c r="L251" i="1"/>
  <c r="K251" i="1"/>
  <c r="H251" i="1"/>
  <c r="G251" i="1"/>
  <c r="D251" i="1"/>
  <c r="C251" i="1"/>
  <c r="CJ250" i="1"/>
  <c r="CI250" i="1"/>
  <c r="CF250" i="1"/>
  <c r="CE250" i="1"/>
  <c r="CB250" i="1"/>
  <c r="CA250" i="1"/>
  <c r="BX250" i="1"/>
  <c r="BW250" i="1"/>
  <c r="BT250" i="1"/>
  <c r="BS250" i="1"/>
  <c r="BP250" i="1"/>
  <c r="BO250" i="1"/>
  <c r="BL250" i="1"/>
  <c r="BK250" i="1"/>
  <c r="BH250" i="1"/>
  <c r="BG250" i="1"/>
  <c r="BD250" i="1"/>
  <c r="BC250" i="1"/>
  <c r="AZ250" i="1"/>
  <c r="AY250" i="1"/>
  <c r="AV250" i="1"/>
  <c r="AU250" i="1"/>
  <c r="AR250" i="1"/>
  <c r="AQ250" i="1"/>
  <c r="AN250" i="1"/>
  <c r="AM250" i="1"/>
  <c r="AJ250" i="1"/>
  <c r="AI250" i="1"/>
  <c r="AF250" i="1"/>
  <c r="AE250" i="1"/>
  <c r="AB250" i="1"/>
  <c r="AA250" i="1"/>
  <c r="X250" i="1"/>
  <c r="W250" i="1"/>
  <c r="T250" i="1"/>
  <c r="S250" i="1"/>
  <c r="P250" i="1"/>
  <c r="O250" i="1"/>
  <c r="L250" i="1"/>
  <c r="K250" i="1"/>
  <c r="H250" i="1"/>
  <c r="G250" i="1"/>
  <c r="D250" i="1"/>
  <c r="C250" i="1"/>
  <c r="CJ249" i="1"/>
  <c r="CI249" i="1"/>
  <c r="CF249" i="1"/>
  <c r="CE249" i="1"/>
  <c r="CB249" i="1"/>
  <c r="CA249" i="1"/>
  <c r="BX249" i="1"/>
  <c r="BW249" i="1"/>
  <c r="BT249" i="1"/>
  <c r="BS249" i="1"/>
  <c r="BP249" i="1"/>
  <c r="BO249" i="1"/>
  <c r="BL249" i="1"/>
  <c r="BK249" i="1"/>
  <c r="BH249" i="1"/>
  <c r="BG249" i="1"/>
  <c r="BD249" i="1"/>
  <c r="BC249" i="1"/>
  <c r="AZ249" i="1"/>
  <c r="AY249" i="1"/>
  <c r="AV249" i="1"/>
  <c r="AU249" i="1"/>
  <c r="AR249" i="1"/>
  <c r="AQ249" i="1"/>
  <c r="AN249" i="1"/>
  <c r="AM249" i="1"/>
  <c r="AJ249" i="1"/>
  <c r="AI249" i="1"/>
  <c r="AF249" i="1"/>
  <c r="AE249" i="1"/>
  <c r="AB249" i="1"/>
  <c r="AA249" i="1"/>
  <c r="X249" i="1"/>
  <c r="W249" i="1"/>
  <c r="T249" i="1"/>
  <c r="S249" i="1"/>
  <c r="P249" i="1"/>
  <c r="O249" i="1"/>
  <c r="L249" i="1"/>
  <c r="K249" i="1"/>
  <c r="H249" i="1"/>
  <c r="G249" i="1"/>
  <c r="D249" i="1"/>
  <c r="C249" i="1"/>
  <c r="CJ247" i="1"/>
  <c r="CI247" i="1"/>
  <c r="CF247" i="1"/>
  <c r="CE247" i="1"/>
  <c r="CB247" i="1"/>
  <c r="CA247" i="1"/>
  <c r="BX247" i="1"/>
  <c r="BW247" i="1"/>
  <c r="BT247" i="1"/>
  <c r="BS247" i="1"/>
  <c r="BP247" i="1"/>
  <c r="BO247" i="1"/>
  <c r="BL247" i="1"/>
  <c r="BK247" i="1"/>
  <c r="BH247" i="1"/>
  <c r="BG247" i="1"/>
  <c r="BD247" i="1"/>
  <c r="BC247" i="1"/>
  <c r="AZ247" i="1"/>
  <c r="AY247" i="1"/>
  <c r="AV247" i="1"/>
  <c r="AU247" i="1"/>
  <c r="AR247" i="1"/>
  <c r="AQ247" i="1"/>
  <c r="AN247" i="1"/>
  <c r="AM247" i="1"/>
  <c r="AJ247" i="1"/>
  <c r="AI247" i="1"/>
  <c r="AF247" i="1"/>
  <c r="AE247" i="1"/>
  <c r="AB247" i="1"/>
  <c r="AA247" i="1"/>
  <c r="X247" i="1"/>
  <c r="W247" i="1"/>
  <c r="T247" i="1"/>
  <c r="S247" i="1"/>
  <c r="P247" i="1"/>
  <c r="O247" i="1"/>
  <c r="L247" i="1"/>
  <c r="K247" i="1"/>
  <c r="H247" i="1"/>
  <c r="G247" i="1"/>
  <c r="D247" i="1"/>
  <c r="C247" i="1"/>
  <c r="CJ246" i="1"/>
  <c r="CI246" i="1"/>
  <c r="CF246" i="1"/>
  <c r="CE246" i="1"/>
  <c r="CB246" i="1"/>
  <c r="CA246" i="1"/>
  <c r="BX246" i="1"/>
  <c r="BW246" i="1"/>
  <c r="BT246" i="1"/>
  <c r="BS246" i="1"/>
  <c r="BP246" i="1"/>
  <c r="BO246" i="1"/>
  <c r="BL246" i="1"/>
  <c r="BK246" i="1"/>
  <c r="BH246" i="1"/>
  <c r="BG246" i="1"/>
  <c r="BD246" i="1"/>
  <c r="BC246" i="1"/>
  <c r="AZ246" i="1"/>
  <c r="AY246" i="1"/>
  <c r="AV246" i="1"/>
  <c r="AU246" i="1"/>
  <c r="AR246" i="1"/>
  <c r="AQ246" i="1"/>
  <c r="AN246" i="1"/>
  <c r="AM246" i="1"/>
  <c r="AJ246" i="1"/>
  <c r="AI246" i="1"/>
  <c r="AF246" i="1"/>
  <c r="AE246" i="1"/>
  <c r="AB246" i="1"/>
  <c r="AA246" i="1"/>
  <c r="X246" i="1"/>
  <c r="W246" i="1"/>
  <c r="T246" i="1"/>
  <c r="S246" i="1"/>
  <c r="P246" i="1"/>
  <c r="O246" i="1"/>
  <c r="L246" i="1"/>
  <c r="K246" i="1"/>
  <c r="H246" i="1"/>
  <c r="G246" i="1"/>
  <c r="D246" i="1"/>
  <c r="C246" i="1"/>
  <c r="CJ245" i="1"/>
  <c r="CI245" i="1"/>
  <c r="CF245" i="1"/>
  <c r="CE245" i="1"/>
  <c r="CB245" i="1"/>
  <c r="CA245" i="1"/>
  <c r="BX245" i="1"/>
  <c r="BW245" i="1"/>
  <c r="BT245" i="1"/>
  <c r="BS245" i="1"/>
  <c r="BP245" i="1"/>
  <c r="BO245" i="1"/>
  <c r="BL245" i="1"/>
  <c r="BK245" i="1"/>
  <c r="BH245" i="1"/>
  <c r="BG245" i="1"/>
  <c r="BD245" i="1"/>
  <c r="BC245" i="1"/>
  <c r="AZ245" i="1"/>
  <c r="AY245" i="1"/>
  <c r="AV245" i="1"/>
  <c r="AU245" i="1"/>
  <c r="AR245" i="1"/>
  <c r="AQ245" i="1"/>
  <c r="AN245" i="1"/>
  <c r="AM245" i="1"/>
  <c r="AJ245" i="1"/>
  <c r="AI245" i="1"/>
  <c r="AF245" i="1"/>
  <c r="AE245" i="1"/>
  <c r="AB245" i="1"/>
  <c r="AA245" i="1"/>
  <c r="X245" i="1"/>
  <c r="W245" i="1"/>
  <c r="T245" i="1"/>
  <c r="S245" i="1"/>
  <c r="P245" i="1"/>
  <c r="O245" i="1"/>
  <c r="L245" i="1"/>
  <c r="K245" i="1"/>
  <c r="H245" i="1"/>
  <c r="G245" i="1"/>
  <c r="D245" i="1"/>
  <c r="C245" i="1"/>
  <c r="CJ244" i="1"/>
  <c r="CI244" i="1"/>
  <c r="CF244" i="1"/>
  <c r="CE244" i="1"/>
  <c r="CB244" i="1"/>
  <c r="CA244" i="1"/>
  <c r="BX244" i="1"/>
  <c r="BW244" i="1"/>
  <c r="BT244" i="1"/>
  <c r="BS244" i="1"/>
  <c r="BP244" i="1"/>
  <c r="BO244" i="1"/>
  <c r="BL244" i="1"/>
  <c r="BK244" i="1"/>
  <c r="BH244" i="1"/>
  <c r="BG244" i="1"/>
  <c r="BD244" i="1"/>
  <c r="BC244" i="1"/>
  <c r="AZ244" i="1"/>
  <c r="AY244" i="1"/>
  <c r="AV244" i="1"/>
  <c r="AU244" i="1"/>
  <c r="AR244" i="1"/>
  <c r="AQ244" i="1"/>
  <c r="AN244" i="1"/>
  <c r="AM244" i="1"/>
  <c r="AJ244" i="1"/>
  <c r="AI244" i="1"/>
  <c r="AF244" i="1"/>
  <c r="AE244" i="1"/>
  <c r="AB244" i="1"/>
  <c r="AA244" i="1"/>
  <c r="X244" i="1"/>
  <c r="W244" i="1"/>
  <c r="T244" i="1"/>
  <c r="S244" i="1"/>
  <c r="P244" i="1"/>
  <c r="O244" i="1"/>
  <c r="L244" i="1"/>
  <c r="K244" i="1"/>
  <c r="H244" i="1"/>
  <c r="G244" i="1"/>
  <c r="D244" i="1"/>
  <c r="C244" i="1"/>
  <c r="CJ237" i="1"/>
  <c r="CI237" i="1"/>
  <c r="CF237" i="1"/>
  <c r="CE237" i="1"/>
  <c r="CB237" i="1"/>
  <c r="CA237" i="1"/>
  <c r="BX237" i="1"/>
  <c r="BW237" i="1"/>
  <c r="BT237" i="1"/>
  <c r="BS237" i="1"/>
  <c r="BP237" i="1"/>
  <c r="BO237" i="1"/>
  <c r="BL237" i="1"/>
  <c r="BK237" i="1"/>
  <c r="BH237" i="1"/>
  <c r="BG237" i="1"/>
  <c r="BD237" i="1"/>
  <c r="BC237" i="1"/>
  <c r="AZ237" i="1"/>
  <c r="AY237" i="1"/>
  <c r="AV237" i="1"/>
  <c r="AU237" i="1"/>
  <c r="AR237" i="1"/>
  <c r="AQ237" i="1"/>
  <c r="AN237" i="1"/>
  <c r="AM237" i="1"/>
  <c r="AJ237" i="1"/>
  <c r="AI237" i="1"/>
  <c r="AF237" i="1"/>
  <c r="AE237" i="1"/>
  <c r="AB237" i="1"/>
  <c r="AA237" i="1"/>
  <c r="X237" i="1"/>
  <c r="W237" i="1"/>
  <c r="T237" i="1"/>
  <c r="S237" i="1"/>
  <c r="P237" i="1"/>
  <c r="O237" i="1"/>
  <c r="L237" i="1"/>
  <c r="K237" i="1"/>
  <c r="H237" i="1"/>
  <c r="G237" i="1"/>
  <c r="D237" i="1"/>
  <c r="C237" i="1"/>
  <c r="CJ235" i="1"/>
  <c r="CI235" i="1"/>
  <c r="CF235" i="1"/>
  <c r="CE235" i="1"/>
  <c r="CB235" i="1"/>
  <c r="CA235" i="1"/>
  <c r="BX235" i="1"/>
  <c r="BW235" i="1"/>
  <c r="BT235" i="1"/>
  <c r="BS235" i="1"/>
  <c r="BP235" i="1"/>
  <c r="BO235" i="1"/>
  <c r="BL235" i="1"/>
  <c r="BK235" i="1"/>
  <c r="BH235" i="1"/>
  <c r="BG235" i="1"/>
  <c r="BD235" i="1"/>
  <c r="BC235" i="1"/>
  <c r="AZ235" i="1"/>
  <c r="AY235" i="1"/>
  <c r="AV235" i="1"/>
  <c r="AU235" i="1"/>
  <c r="AR235" i="1"/>
  <c r="AQ235" i="1"/>
  <c r="AN235" i="1"/>
  <c r="AM235" i="1"/>
  <c r="AJ235" i="1"/>
  <c r="AI235" i="1"/>
  <c r="AF235" i="1"/>
  <c r="AE235" i="1"/>
  <c r="AB235" i="1"/>
  <c r="AA235" i="1"/>
  <c r="X235" i="1"/>
  <c r="W235" i="1"/>
  <c r="T235" i="1"/>
  <c r="S235" i="1"/>
  <c r="P235" i="1"/>
  <c r="O235" i="1"/>
  <c r="L235" i="1"/>
  <c r="K235" i="1"/>
  <c r="H235" i="1"/>
  <c r="G235" i="1"/>
  <c r="D235" i="1"/>
  <c r="C235" i="1"/>
  <c r="CJ234" i="1"/>
  <c r="CI234" i="1"/>
  <c r="CF234" i="1"/>
  <c r="CE234" i="1"/>
  <c r="CB234" i="1"/>
  <c r="CA234" i="1"/>
  <c r="BX234" i="1"/>
  <c r="BW234" i="1"/>
  <c r="BT234" i="1"/>
  <c r="BS234" i="1"/>
  <c r="BP234" i="1"/>
  <c r="BO234" i="1"/>
  <c r="BL234" i="1"/>
  <c r="BK234" i="1"/>
  <c r="BH234" i="1"/>
  <c r="BG234" i="1"/>
  <c r="BD234" i="1"/>
  <c r="BC234" i="1"/>
  <c r="AZ234" i="1"/>
  <c r="AY234" i="1"/>
  <c r="AV234" i="1"/>
  <c r="AU234" i="1"/>
  <c r="AR234" i="1"/>
  <c r="AQ234" i="1"/>
  <c r="AN234" i="1"/>
  <c r="AM234" i="1"/>
  <c r="AJ234" i="1"/>
  <c r="AI234" i="1"/>
  <c r="AF234" i="1"/>
  <c r="AE234" i="1"/>
  <c r="AB234" i="1"/>
  <c r="AA234" i="1"/>
  <c r="X234" i="1"/>
  <c r="W234" i="1"/>
  <c r="T234" i="1"/>
  <c r="S234" i="1"/>
  <c r="P234" i="1"/>
  <c r="O234" i="1"/>
  <c r="L234" i="1"/>
  <c r="K234" i="1"/>
  <c r="H234" i="1"/>
  <c r="G234" i="1"/>
  <c r="D234" i="1"/>
  <c r="C234" i="1"/>
  <c r="CJ233" i="1"/>
  <c r="CI233" i="1"/>
  <c r="CF233" i="1"/>
  <c r="CE233" i="1"/>
  <c r="CB233" i="1"/>
  <c r="CA233" i="1"/>
  <c r="BX233" i="1"/>
  <c r="BW233" i="1"/>
  <c r="BT233" i="1"/>
  <c r="BS233" i="1"/>
  <c r="BP233" i="1"/>
  <c r="BO233" i="1"/>
  <c r="BL233" i="1"/>
  <c r="BK233" i="1"/>
  <c r="BH233" i="1"/>
  <c r="BG233" i="1"/>
  <c r="BD233" i="1"/>
  <c r="BC233" i="1"/>
  <c r="AZ233" i="1"/>
  <c r="AY233" i="1"/>
  <c r="AV233" i="1"/>
  <c r="AU233" i="1"/>
  <c r="AR233" i="1"/>
  <c r="AQ233" i="1"/>
  <c r="AN233" i="1"/>
  <c r="AM233" i="1"/>
  <c r="AJ233" i="1"/>
  <c r="AI233" i="1"/>
  <c r="AF233" i="1"/>
  <c r="AE233" i="1"/>
  <c r="AB233" i="1"/>
  <c r="AA233" i="1"/>
  <c r="X233" i="1"/>
  <c r="W233" i="1"/>
  <c r="T233" i="1"/>
  <c r="S233" i="1"/>
  <c r="P233" i="1"/>
  <c r="O233" i="1"/>
  <c r="L233" i="1"/>
  <c r="K233" i="1"/>
  <c r="H233" i="1"/>
  <c r="G233" i="1"/>
  <c r="D233" i="1"/>
  <c r="C233" i="1"/>
  <c r="CJ232" i="1"/>
  <c r="CI232" i="1"/>
  <c r="CF232" i="1"/>
  <c r="CE232" i="1"/>
  <c r="CB232" i="1"/>
  <c r="CA232" i="1"/>
  <c r="BX232" i="1"/>
  <c r="BW232" i="1"/>
  <c r="BT232" i="1"/>
  <c r="BS232" i="1"/>
  <c r="BP232" i="1"/>
  <c r="BO232" i="1"/>
  <c r="BL232" i="1"/>
  <c r="BK232" i="1"/>
  <c r="BH232" i="1"/>
  <c r="BG232" i="1"/>
  <c r="BD232" i="1"/>
  <c r="BC232" i="1"/>
  <c r="AZ232" i="1"/>
  <c r="AY232" i="1"/>
  <c r="AV232" i="1"/>
  <c r="AU232" i="1"/>
  <c r="AR232" i="1"/>
  <c r="AQ232" i="1"/>
  <c r="AN232" i="1"/>
  <c r="AM232" i="1"/>
  <c r="AJ232" i="1"/>
  <c r="AI232" i="1"/>
  <c r="AF232" i="1"/>
  <c r="AE232" i="1"/>
  <c r="AB232" i="1"/>
  <c r="AA232" i="1"/>
  <c r="X232" i="1"/>
  <c r="W232" i="1"/>
  <c r="T232" i="1"/>
  <c r="S232" i="1"/>
  <c r="P232" i="1"/>
  <c r="O232" i="1"/>
  <c r="L232" i="1"/>
  <c r="K232" i="1"/>
  <c r="H232" i="1"/>
  <c r="G232" i="1"/>
  <c r="D232" i="1"/>
  <c r="C232" i="1"/>
  <c r="CJ231" i="1"/>
  <c r="CI231" i="1"/>
  <c r="CF231" i="1"/>
  <c r="CE231" i="1"/>
  <c r="CB231" i="1"/>
  <c r="CA231" i="1"/>
  <c r="BX231" i="1"/>
  <c r="BW231" i="1"/>
  <c r="BT231" i="1"/>
  <c r="BS231" i="1"/>
  <c r="BP231" i="1"/>
  <c r="BO231" i="1"/>
  <c r="BL231" i="1"/>
  <c r="BK231" i="1"/>
  <c r="BH231" i="1"/>
  <c r="BG231" i="1"/>
  <c r="BD231" i="1"/>
  <c r="BC231" i="1"/>
  <c r="AZ231" i="1"/>
  <c r="AY231" i="1"/>
  <c r="AV231" i="1"/>
  <c r="AU231" i="1"/>
  <c r="AR231" i="1"/>
  <c r="AQ231" i="1"/>
  <c r="AN231" i="1"/>
  <c r="AM231" i="1"/>
  <c r="AJ231" i="1"/>
  <c r="AI231" i="1"/>
  <c r="AF231" i="1"/>
  <c r="AE231" i="1"/>
  <c r="AB231" i="1"/>
  <c r="AA231" i="1"/>
  <c r="X231" i="1"/>
  <c r="W231" i="1"/>
  <c r="T231" i="1"/>
  <c r="S231" i="1"/>
  <c r="P231" i="1"/>
  <c r="O231" i="1"/>
  <c r="L231" i="1"/>
  <c r="K231" i="1"/>
  <c r="H231" i="1"/>
  <c r="G231" i="1"/>
  <c r="D231" i="1"/>
  <c r="C231" i="1"/>
  <c r="CJ230" i="1"/>
  <c r="CI230" i="1"/>
  <c r="CF230" i="1"/>
  <c r="CE230" i="1"/>
  <c r="CB230" i="1"/>
  <c r="CA230" i="1"/>
  <c r="BX230" i="1"/>
  <c r="BW230" i="1"/>
  <c r="BT230" i="1"/>
  <c r="BS230" i="1"/>
  <c r="BP230" i="1"/>
  <c r="BO230" i="1"/>
  <c r="BL230" i="1"/>
  <c r="BK230" i="1"/>
  <c r="BH230" i="1"/>
  <c r="BG230" i="1"/>
  <c r="BD230" i="1"/>
  <c r="BC230" i="1"/>
  <c r="AZ230" i="1"/>
  <c r="AY230" i="1"/>
  <c r="AV230" i="1"/>
  <c r="AU230" i="1"/>
  <c r="AR230" i="1"/>
  <c r="AQ230" i="1"/>
  <c r="AN230" i="1"/>
  <c r="AM230" i="1"/>
  <c r="AJ230" i="1"/>
  <c r="AI230" i="1"/>
  <c r="AF230" i="1"/>
  <c r="AE230" i="1"/>
  <c r="AB230" i="1"/>
  <c r="AA230" i="1"/>
  <c r="X230" i="1"/>
  <c r="W230" i="1"/>
  <c r="T230" i="1"/>
  <c r="S230" i="1"/>
  <c r="P230" i="1"/>
  <c r="O230" i="1"/>
  <c r="L230" i="1"/>
  <c r="K230" i="1"/>
  <c r="H230" i="1"/>
  <c r="G230" i="1"/>
  <c r="D230" i="1"/>
  <c r="C230" i="1"/>
  <c r="CJ229" i="1"/>
  <c r="CI229" i="1"/>
  <c r="CF229" i="1"/>
  <c r="CE229" i="1"/>
  <c r="CB229" i="1"/>
  <c r="CA229" i="1"/>
  <c r="BX229" i="1"/>
  <c r="BW229" i="1"/>
  <c r="BT229" i="1"/>
  <c r="BS229" i="1"/>
  <c r="BP229" i="1"/>
  <c r="BO229" i="1"/>
  <c r="BL229" i="1"/>
  <c r="BK229" i="1"/>
  <c r="BH229" i="1"/>
  <c r="BG229" i="1"/>
  <c r="BD229" i="1"/>
  <c r="BC229" i="1"/>
  <c r="AZ229" i="1"/>
  <c r="AY229" i="1"/>
  <c r="AV229" i="1"/>
  <c r="AU229" i="1"/>
  <c r="AR229" i="1"/>
  <c r="AQ229" i="1"/>
  <c r="AN229" i="1"/>
  <c r="AM229" i="1"/>
  <c r="AJ229" i="1"/>
  <c r="AI229" i="1"/>
  <c r="AF229" i="1"/>
  <c r="AE229" i="1"/>
  <c r="AB229" i="1"/>
  <c r="AA229" i="1"/>
  <c r="X229" i="1"/>
  <c r="W229" i="1"/>
  <c r="T229" i="1"/>
  <c r="S229" i="1"/>
  <c r="P229" i="1"/>
  <c r="O229" i="1"/>
  <c r="L229" i="1"/>
  <c r="K229" i="1"/>
  <c r="H229" i="1"/>
  <c r="G229" i="1"/>
  <c r="D229" i="1"/>
  <c r="C229" i="1"/>
  <c r="CJ228" i="1"/>
  <c r="CI228" i="1"/>
  <c r="CF228" i="1"/>
  <c r="CE228" i="1"/>
  <c r="CB228" i="1"/>
  <c r="CA228" i="1"/>
  <c r="BX228" i="1"/>
  <c r="BW228" i="1"/>
  <c r="BT228" i="1"/>
  <c r="BS228" i="1"/>
  <c r="BP228" i="1"/>
  <c r="BO228" i="1"/>
  <c r="BL228" i="1"/>
  <c r="BK228" i="1"/>
  <c r="BH228" i="1"/>
  <c r="BG228" i="1"/>
  <c r="BD228" i="1"/>
  <c r="BC228" i="1"/>
  <c r="AZ228" i="1"/>
  <c r="AY228" i="1"/>
  <c r="AV228" i="1"/>
  <c r="AU228" i="1"/>
  <c r="AR228" i="1"/>
  <c r="AQ228" i="1"/>
  <c r="AN228" i="1"/>
  <c r="AM228" i="1"/>
  <c r="AJ228" i="1"/>
  <c r="AI228" i="1"/>
  <c r="AF228" i="1"/>
  <c r="AE228" i="1"/>
  <c r="AB228" i="1"/>
  <c r="AA228" i="1"/>
  <c r="X228" i="1"/>
  <c r="W228" i="1"/>
  <c r="T228" i="1"/>
  <c r="S228" i="1"/>
  <c r="P228" i="1"/>
  <c r="O228" i="1"/>
  <c r="L228" i="1"/>
  <c r="K228" i="1"/>
  <c r="H228" i="1"/>
  <c r="G228" i="1"/>
  <c r="D228" i="1"/>
  <c r="C228" i="1"/>
  <c r="CJ226" i="1"/>
  <c r="CI226" i="1"/>
  <c r="CF226" i="1"/>
  <c r="CE226" i="1"/>
  <c r="CB226" i="1"/>
  <c r="CA226" i="1"/>
  <c r="BX226" i="1"/>
  <c r="BW226" i="1"/>
  <c r="BT226" i="1"/>
  <c r="BS226" i="1"/>
  <c r="BP226" i="1"/>
  <c r="BO226" i="1"/>
  <c r="BL226" i="1"/>
  <c r="BK226" i="1"/>
  <c r="BH226" i="1"/>
  <c r="BG226" i="1"/>
  <c r="BD226" i="1"/>
  <c r="BC226" i="1"/>
  <c r="AZ226" i="1"/>
  <c r="AY226" i="1"/>
  <c r="AV226" i="1"/>
  <c r="AU226" i="1"/>
  <c r="AR226" i="1"/>
  <c r="AQ226" i="1"/>
  <c r="AN226" i="1"/>
  <c r="AM226" i="1"/>
  <c r="AJ226" i="1"/>
  <c r="AI226" i="1"/>
  <c r="AF226" i="1"/>
  <c r="AE226" i="1"/>
  <c r="AB226" i="1"/>
  <c r="AA226" i="1"/>
  <c r="X226" i="1"/>
  <c r="W226" i="1"/>
  <c r="T226" i="1"/>
  <c r="S226" i="1"/>
  <c r="P226" i="1"/>
  <c r="O226" i="1"/>
  <c r="L226" i="1"/>
  <c r="K226" i="1"/>
  <c r="H226" i="1"/>
  <c r="G226" i="1"/>
  <c r="D226" i="1"/>
  <c r="C226" i="1"/>
  <c r="CJ225" i="1"/>
  <c r="CI225" i="1"/>
  <c r="CF225" i="1"/>
  <c r="CE225" i="1"/>
  <c r="CB225" i="1"/>
  <c r="CA225" i="1"/>
  <c r="BX225" i="1"/>
  <c r="BW225" i="1"/>
  <c r="BT225" i="1"/>
  <c r="BS225" i="1"/>
  <c r="BP225" i="1"/>
  <c r="BO225" i="1"/>
  <c r="BL225" i="1"/>
  <c r="BK225" i="1"/>
  <c r="BH225" i="1"/>
  <c r="BG225" i="1"/>
  <c r="BD225" i="1"/>
  <c r="BC225" i="1"/>
  <c r="AZ225" i="1"/>
  <c r="AY225" i="1"/>
  <c r="AV225" i="1"/>
  <c r="AU225" i="1"/>
  <c r="AR225" i="1"/>
  <c r="AQ225" i="1"/>
  <c r="AN225" i="1"/>
  <c r="AM225" i="1"/>
  <c r="AJ225" i="1"/>
  <c r="AI225" i="1"/>
  <c r="AF225" i="1"/>
  <c r="AE225" i="1"/>
  <c r="AB225" i="1"/>
  <c r="AA225" i="1"/>
  <c r="X225" i="1"/>
  <c r="W225" i="1"/>
  <c r="T225" i="1"/>
  <c r="S225" i="1"/>
  <c r="P225" i="1"/>
  <c r="O225" i="1"/>
  <c r="L225" i="1"/>
  <c r="K225" i="1"/>
  <c r="H225" i="1"/>
  <c r="G225" i="1"/>
  <c r="D225" i="1"/>
  <c r="C225" i="1"/>
  <c r="CJ224" i="1"/>
  <c r="CI224" i="1"/>
  <c r="CF224" i="1"/>
  <c r="CE224" i="1"/>
  <c r="CB224" i="1"/>
  <c r="CA224" i="1"/>
  <c r="BX224" i="1"/>
  <c r="BW224" i="1"/>
  <c r="BT224" i="1"/>
  <c r="BS224" i="1"/>
  <c r="BP224" i="1"/>
  <c r="BO224" i="1"/>
  <c r="BL224" i="1"/>
  <c r="BK224" i="1"/>
  <c r="BH224" i="1"/>
  <c r="BG224" i="1"/>
  <c r="BD224" i="1"/>
  <c r="BC224" i="1"/>
  <c r="AZ224" i="1"/>
  <c r="AY224" i="1"/>
  <c r="AV224" i="1"/>
  <c r="AU224" i="1"/>
  <c r="AR224" i="1"/>
  <c r="AQ224" i="1"/>
  <c r="AN224" i="1"/>
  <c r="AM224" i="1"/>
  <c r="AJ224" i="1"/>
  <c r="AI224" i="1"/>
  <c r="AF224" i="1"/>
  <c r="AE224" i="1"/>
  <c r="AB224" i="1"/>
  <c r="AA224" i="1"/>
  <c r="X224" i="1"/>
  <c r="W224" i="1"/>
  <c r="T224" i="1"/>
  <c r="S224" i="1"/>
  <c r="P224" i="1"/>
  <c r="O224" i="1"/>
  <c r="L224" i="1"/>
  <c r="K224" i="1"/>
  <c r="H224" i="1"/>
  <c r="G224" i="1"/>
  <c r="D224" i="1"/>
  <c r="C224" i="1"/>
  <c r="CJ223" i="1"/>
  <c r="CI223" i="1"/>
  <c r="CF223" i="1"/>
  <c r="CE223" i="1"/>
  <c r="CB223" i="1"/>
  <c r="CA223" i="1"/>
  <c r="BX223" i="1"/>
  <c r="BW223" i="1"/>
  <c r="BT223" i="1"/>
  <c r="BS223" i="1"/>
  <c r="BP223" i="1"/>
  <c r="BO223" i="1"/>
  <c r="BL223" i="1"/>
  <c r="BK223" i="1"/>
  <c r="BH223" i="1"/>
  <c r="BG223" i="1"/>
  <c r="BD223" i="1"/>
  <c r="BC223" i="1"/>
  <c r="AZ223" i="1"/>
  <c r="AY223" i="1"/>
  <c r="AV223" i="1"/>
  <c r="AU223" i="1"/>
  <c r="AR223" i="1"/>
  <c r="AQ223" i="1"/>
  <c r="AN223" i="1"/>
  <c r="AM223" i="1"/>
  <c r="AJ223" i="1"/>
  <c r="AI223" i="1"/>
  <c r="AF223" i="1"/>
  <c r="AE223" i="1"/>
  <c r="AB223" i="1"/>
  <c r="AA223" i="1"/>
  <c r="X223" i="1"/>
  <c r="W223" i="1"/>
  <c r="T223" i="1"/>
  <c r="S223" i="1"/>
  <c r="P223" i="1"/>
  <c r="O223" i="1"/>
  <c r="L223" i="1"/>
  <c r="K223" i="1"/>
  <c r="H223" i="1"/>
  <c r="G223" i="1"/>
  <c r="D223" i="1"/>
  <c r="C223" i="1"/>
  <c r="CJ222" i="1"/>
  <c r="CI222" i="1"/>
  <c r="CF222" i="1"/>
  <c r="CE222" i="1"/>
  <c r="CB222" i="1"/>
  <c r="CA222" i="1"/>
  <c r="BX222" i="1"/>
  <c r="BW222" i="1"/>
  <c r="BT222" i="1"/>
  <c r="BS222" i="1"/>
  <c r="BP222" i="1"/>
  <c r="BO222" i="1"/>
  <c r="BL222" i="1"/>
  <c r="BK222" i="1"/>
  <c r="BH222" i="1"/>
  <c r="BG222" i="1"/>
  <c r="BD222" i="1"/>
  <c r="BC222" i="1"/>
  <c r="AZ222" i="1"/>
  <c r="AY222" i="1"/>
  <c r="AV222" i="1"/>
  <c r="AU222" i="1"/>
  <c r="AR222" i="1"/>
  <c r="AQ222" i="1"/>
  <c r="AN222" i="1"/>
  <c r="AM222" i="1"/>
  <c r="AJ222" i="1"/>
  <c r="AI222" i="1"/>
  <c r="AF222" i="1"/>
  <c r="AE222" i="1"/>
  <c r="AB222" i="1"/>
  <c r="AA222" i="1"/>
  <c r="X222" i="1"/>
  <c r="W222" i="1"/>
  <c r="T222" i="1"/>
  <c r="S222" i="1"/>
  <c r="P222" i="1"/>
  <c r="O222" i="1"/>
  <c r="L222" i="1"/>
  <c r="K222" i="1"/>
  <c r="H222" i="1"/>
  <c r="G222" i="1"/>
  <c r="D222" i="1"/>
  <c r="C222" i="1"/>
  <c r="CJ221" i="1"/>
  <c r="CI221" i="1"/>
  <c r="CF221" i="1"/>
  <c r="CE221" i="1"/>
  <c r="CB221" i="1"/>
  <c r="CA221" i="1"/>
  <c r="BX221" i="1"/>
  <c r="BW221" i="1"/>
  <c r="BT221" i="1"/>
  <c r="BS221" i="1"/>
  <c r="BP221" i="1"/>
  <c r="BO221" i="1"/>
  <c r="BL221" i="1"/>
  <c r="BK221" i="1"/>
  <c r="BH221" i="1"/>
  <c r="BG221" i="1"/>
  <c r="BD221" i="1"/>
  <c r="BC221" i="1"/>
  <c r="AZ221" i="1"/>
  <c r="AY221" i="1"/>
  <c r="AV221" i="1"/>
  <c r="AU221" i="1"/>
  <c r="AR221" i="1"/>
  <c r="AQ221" i="1"/>
  <c r="AN221" i="1"/>
  <c r="AM221" i="1"/>
  <c r="AJ221" i="1"/>
  <c r="AI221" i="1"/>
  <c r="AF221" i="1"/>
  <c r="AE221" i="1"/>
  <c r="AB221" i="1"/>
  <c r="AA221" i="1"/>
  <c r="X221" i="1"/>
  <c r="W221" i="1"/>
  <c r="T221" i="1"/>
  <c r="S221" i="1"/>
  <c r="P221" i="1"/>
  <c r="O221" i="1"/>
  <c r="L221" i="1"/>
  <c r="K221" i="1"/>
  <c r="H221" i="1"/>
  <c r="G221" i="1"/>
  <c r="D221" i="1"/>
  <c r="C221" i="1"/>
  <c r="CJ220" i="1"/>
  <c r="CI220" i="1"/>
  <c r="CF220" i="1"/>
  <c r="CE220" i="1"/>
  <c r="CB220" i="1"/>
  <c r="CA220" i="1"/>
  <c r="BX220" i="1"/>
  <c r="BW220" i="1"/>
  <c r="BT220" i="1"/>
  <c r="BS220" i="1"/>
  <c r="BP220" i="1"/>
  <c r="BO220" i="1"/>
  <c r="BL220" i="1"/>
  <c r="BK220" i="1"/>
  <c r="BH220" i="1"/>
  <c r="BG220" i="1"/>
  <c r="BD220" i="1"/>
  <c r="BC220" i="1"/>
  <c r="AZ220" i="1"/>
  <c r="AY220" i="1"/>
  <c r="AV220" i="1"/>
  <c r="AU220" i="1"/>
  <c r="AR220" i="1"/>
  <c r="AQ220" i="1"/>
  <c r="AN220" i="1"/>
  <c r="AM220" i="1"/>
  <c r="AJ220" i="1"/>
  <c r="AI220" i="1"/>
  <c r="AF220" i="1"/>
  <c r="AE220" i="1"/>
  <c r="AB220" i="1"/>
  <c r="AA220" i="1"/>
  <c r="X220" i="1"/>
  <c r="W220" i="1"/>
  <c r="T220" i="1"/>
  <c r="S220" i="1"/>
  <c r="P220" i="1"/>
  <c r="O220" i="1"/>
  <c r="L220" i="1"/>
  <c r="K220" i="1"/>
  <c r="H220" i="1"/>
  <c r="G220" i="1"/>
  <c r="D220" i="1"/>
  <c r="C220" i="1"/>
  <c r="CJ219" i="1"/>
  <c r="CI219" i="1"/>
  <c r="CF219" i="1"/>
  <c r="CE219" i="1"/>
  <c r="CB219" i="1"/>
  <c r="CA219" i="1"/>
  <c r="BX219" i="1"/>
  <c r="BW219" i="1"/>
  <c r="BT219" i="1"/>
  <c r="BS219" i="1"/>
  <c r="BP219" i="1"/>
  <c r="BO219" i="1"/>
  <c r="BL219" i="1"/>
  <c r="BK219" i="1"/>
  <c r="BH219" i="1"/>
  <c r="BG219" i="1"/>
  <c r="BD219" i="1"/>
  <c r="BC219" i="1"/>
  <c r="AZ219" i="1"/>
  <c r="AY219" i="1"/>
  <c r="AV219" i="1"/>
  <c r="AU219" i="1"/>
  <c r="AR219" i="1"/>
  <c r="AQ219" i="1"/>
  <c r="AN219" i="1"/>
  <c r="AM219" i="1"/>
  <c r="AJ219" i="1"/>
  <c r="AI219" i="1"/>
  <c r="AF219" i="1"/>
  <c r="AE219" i="1"/>
  <c r="AB219" i="1"/>
  <c r="AA219" i="1"/>
  <c r="X219" i="1"/>
  <c r="W219" i="1"/>
  <c r="T219" i="1"/>
  <c r="S219" i="1"/>
  <c r="P219" i="1"/>
  <c r="O219" i="1"/>
  <c r="L219" i="1"/>
  <c r="K219" i="1"/>
  <c r="H219" i="1"/>
  <c r="G219" i="1"/>
  <c r="D219" i="1"/>
  <c r="C219" i="1"/>
  <c r="CJ217" i="1"/>
  <c r="CI217" i="1"/>
  <c r="CF217" i="1"/>
  <c r="CE217" i="1"/>
  <c r="CB217" i="1"/>
  <c r="CA217" i="1"/>
  <c r="BX217" i="1"/>
  <c r="BW217" i="1"/>
  <c r="BT217" i="1"/>
  <c r="BS217" i="1"/>
  <c r="BP217" i="1"/>
  <c r="BO217" i="1"/>
  <c r="BL217" i="1"/>
  <c r="BK217" i="1"/>
  <c r="BH217" i="1"/>
  <c r="BG217" i="1"/>
  <c r="BD217" i="1"/>
  <c r="BC217" i="1"/>
  <c r="AZ217" i="1"/>
  <c r="AY217" i="1"/>
  <c r="AV217" i="1"/>
  <c r="AU217" i="1"/>
  <c r="AR217" i="1"/>
  <c r="AQ217" i="1"/>
  <c r="AN217" i="1"/>
  <c r="AM217" i="1"/>
  <c r="AJ217" i="1"/>
  <c r="AI217" i="1"/>
  <c r="AF217" i="1"/>
  <c r="AE217" i="1"/>
  <c r="AB217" i="1"/>
  <c r="AA217" i="1"/>
  <c r="X217" i="1"/>
  <c r="W217" i="1"/>
  <c r="T217" i="1"/>
  <c r="S217" i="1"/>
  <c r="P217" i="1"/>
  <c r="O217" i="1"/>
  <c r="L217" i="1"/>
  <c r="K217" i="1"/>
  <c r="H217" i="1"/>
  <c r="G217" i="1"/>
  <c r="D217" i="1"/>
  <c r="C217" i="1"/>
  <c r="CJ216" i="1"/>
  <c r="CI216" i="1"/>
  <c r="CF216" i="1"/>
  <c r="CE216" i="1"/>
  <c r="CB216" i="1"/>
  <c r="CA216" i="1"/>
  <c r="BX216" i="1"/>
  <c r="BW216" i="1"/>
  <c r="BT216" i="1"/>
  <c r="BS216" i="1"/>
  <c r="BP216" i="1"/>
  <c r="BO216" i="1"/>
  <c r="BL216" i="1"/>
  <c r="BK216" i="1"/>
  <c r="BH216" i="1"/>
  <c r="BG216" i="1"/>
  <c r="BD216" i="1"/>
  <c r="BC216" i="1"/>
  <c r="AZ216" i="1"/>
  <c r="AY216" i="1"/>
  <c r="AV216" i="1"/>
  <c r="AU216" i="1"/>
  <c r="AR216" i="1"/>
  <c r="AQ216" i="1"/>
  <c r="AN216" i="1"/>
  <c r="AM216" i="1"/>
  <c r="AJ216" i="1"/>
  <c r="AI216" i="1"/>
  <c r="AF216" i="1"/>
  <c r="AE216" i="1"/>
  <c r="AB216" i="1"/>
  <c r="AA216" i="1"/>
  <c r="X216" i="1"/>
  <c r="W216" i="1"/>
  <c r="T216" i="1"/>
  <c r="S216" i="1"/>
  <c r="P216" i="1"/>
  <c r="O216" i="1"/>
  <c r="L216" i="1"/>
  <c r="K216" i="1"/>
  <c r="H216" i="1"/>
  <c r="G216" i="1"/>
  <c r="D216" i="1"/>
  <c r="C216" i="1"/>
  <c r="CJ215" i="1"/>
  <c r="CI215" i="1"/>
  <c r="CF215" i="1"/>
  <c r="CE215" i="1"/>
  <c r="CB215" i="1"/>
  <c r="CA215" i="1"/>
  <c r="BX215" i="1"/>
  <c r="BW215" i="1"/>
  <c r="BT215" i="1"/>
  <c r="BS215" i="1"/>
  <c r="BP215" i="1"/>
  <c r="BO215" i="1"/>
  <c r="BL215" i="1"/>
  <c r="BK215" i="1"/>
  <c r="BH215" i="1"/>
  <c r="BG215" i="1"/>
  <c r="BD215" i="1"/>
  <c r="BC215" i="1"/>
  <c r="AZ215" i="1"/>
  <c r="AY215" i="1"/>
  <c r="AV215" i="1"/>
  <c r="AU215" i="1"/>
  <c r="AR215" i="1"/>
  <c r="AQ215" i="1"/>
  <c r="AN215" i="1"/>
  <c r="AM215" i="1"/>
  <c r="AJ215" i="1"/>
  <c r="AI215" i="1"/>
  <c r="AF215" i="1"/>
  <c r="AE215" i="1"/>
  <c r="AB215" i="1"/>
  <c r="AA215" i="1"/>
  <c r="X215" i="1"/>
  <c r="W215" i="1"/>
  <c r="T215" i="1"/>
  <c r="S215" i="1"/>
  <c r="P215" i="1"/>
  <c r="O215" i="1"/>
  <c r="L215" i="1"/>
  <c r="K215" i="1"/>
  <c r="H215" i="1"/>
  <c r="G215" i="1"/>
  <c r="D215" i="1"/>
  <c r="C215" i="1"/>
  <c r="CJ214" i="1"/>
  <c r="CI214" i="1"/>
  <c r="CF214" i="1"/>
  <c r="CE214" i="1"/>
  <c r="CB214" i="1"/>
  <c r="CA214" i="1"/>
  <c r="BX214" i="1"/>
  <c r="BW214" i="1"/>
  <c r="BT214" i="1"/>
  <c r="BS214" i="1"/>
  <c r="BP214" i="1"/>
  <c r="BO214" i="1"/>
  <c r="BL214" i="1"/>
  <c r="BK214" i="1"/>
  <c r="BH214" i="1"/>
  <c r="BG214" i="1"/>
  <c r="BD214" i="1"/>
  <c r="BC214" i="1"/>
  <c r="AZ214" i="1"/>
  <c r="AY214" i="1"/>
  <c r="AV214" i="1"/>
  <c r="AU214" i="1"/>
  <c r="AR214" i="1"/>
  <c r="AQ214" i="1"/>
  <c r="AN214" i="1"/>
  <c r="AM214" i="1"/>
  <c r="AJ214" i="1"/>
  <c r="AI214" i="1"/>
  <c r="AF214" i="1"/>
  <c r="AE214" i="1"/>
  <c r="AB214" i="1"/>
  <c r="AA214" i="1"/>
  <c r="X214" i="1"/>
  <c r="W214" i="1"/>
  <c r="T214" i="1"/>
  <c r="S214" i="1"/>
  <c r="P214" i="1"/>
  <c r="O214" i="1"/>
  <c r="L214" i="1"/>
  <c r="K214" i="1"/>
  <c r="H214" i="1"/>
  <c r="G214" i="1"/>
  <c r="D214" i="1"/>
  <c r="C214" i="1"/>
  <c r="CJ213" i="1"/>
  <c r="CI213" i="1"/>
  <c r="CF213" i="1"/>
  <c r="CE213" i="1"/>
  <c r="CB213" i="1"/>
  <c r="CA213" i="1"/>
  <c r="BX213" i="1"/>
  <c r="BW213" i="1"/>
  <c r="BT213" i="1"/>
  <c r="BS213" i="1"/>
  <c r="BP213" i="1"/>
  <c r="BO213" i="1"/>
  <c r="BL213" i="1"/>
  <c r="BK213" i="1"/>
  <c r="BH213" i="1"/>
  <c r="BG213" i="1"/>
  <c r="BD213" i="1"/>
  <c r="BC213" i="1"/>
  <c r="AZ213" i="1"/>
  <c r="AY213" i="1"/>
  <c r="AV213" i="1"/>
  <c r="AU213" i="1"/>
  <c r="AR213" i="1"/>
  <c r="AQ213" i="1"/>
  <c r="AN213" i="1"/>
  <c r="AM213" i="1"/>
  <c r="AJ213" i="1"/>
  <c r="AI213" i="1"/>
  <c r="AF213" i="1"/>
  <c r="AE213" i="1"/>
  <c r="AB213" i="1"/>
  <c r="AA213" i="1"/>
  <c r="X213" i="1"/>
  <c r="W213" i="1"/>
  <c r="T213" i="1"/>
  <c r="S213" i="1"/>
  <c r="P213" i="1"/>
  <c r="O213" i="1"/>
  <c r="L213" i="1"/>
  <c r="K213" i="1"/>
  <c r="H213" i="1"/>
  <c r="G213" i="1"/>
  <c r="D213" i="1"/>
  <c r="C213" i="1"/>
  <c r="CJ212" i="1"/>
  <c r="CI212" i="1"/>
  <c r="CF212" i="1"/>
  <c r="CE212" i="1"/>
  <c r="CB212" i="1"/>
  <c r="CA212" i="1"/>
  <c r="BX212" i="1"/>
  <c r="BW212" i="1"/>
  <c r="BT212" i="1"/>
  <c r="BS212" i="1"/>
  <c r="BP212" i="1"/>
  <c r="BO212" i="1"/>
  <c r="BL212" i="1"/>
  <c r="BK212" i="1"/>
  <c r="BH212" i="1"/>
  <c r="BG212" i="1"/>
  <c r="BD212" i="1"/>
  <c r="BC212" i="1"/>
  <c r="AZ212" i="1"/>
  <c r="AY212" i="1"/>
  <c r="AV212" i="1"/>
  <c r="AU212" i="1"/>
  <c r="AR212" i="1"/>
  <c r="AQ212" i="1"/>
  <c r="AN212" i="1"/>
  <c r="AM212" i="1"/>
  <c r="AJ212" i="1"/>
  <c r="AI212" i="1"/>
  <c r="AF212" i="1"/>
  <c r="AE212" i="1"/>
  <c r="AB212" i="1"/>
  <c r="AA212" i="1"/>
  <c r="X212" i="1"/>
  <c r="W212" i="1"/>
  <c r="T212" i="1"/>
  <c r="S212" i="1"/>
  <c r="P212" i="1"/>
  <c r="O212" i="1"/>
  <c r="L212" i="1"/>
  <c r="K212" i="1"/>
  <c r="H212" i="1"/>
  <c r="G212" i="1"/>
  <c r="D212" i="1"/>
  <c r="C212" i="1"/>
  <c r="CJ211" i="1"/>
  <c r="CI211" i="1"/>
  <c r="CF211" i="1"/>
  <c r="CE211" i="1"/>
  <c r="CB211" i="1"/>
  <c r="CA211" i="1"/>
  <c r="BX211" i="1"/>
  <c r="BW211" i="1"/>
  <c r="BT211" i="1"/>
  <c r="BS211" i="1"/>
  <c r="BP211" i="1"/>
  <c r="BO211" i="1"/>
  <c r="BL211" i="1"/>
  <c r="BK211" i="1"/>
  <c r="BH211" i="1"/>
  <c r="BG211" i="1"/>
  <c r="BD211" i="1"/>
  <c r="BC211" i="1"/>
  <c r="AZ211" i="1"/>
  <c r="AY211" i="1"/>
  <c r="AV211" i="1"/>
  <c r="AU211" i="1"/>
  <c r="AR211" i="1"/>
  <c r="AQ211" i="1"/>
  <c r="AN211" i="1"/>
  <c r="AM211" i="1"/>
  <c r="AJ211" i="1"/>
  <c r="AI211" i="1"/>
  <c r="AF211" i="1"/>
  <c r="AE211" i="1"/>
  <c r="AB211" i="1"/>
  <c r="AA211" i="1"/>
  <c r="X211" i="1"/>
  <c r="W211" i="1"/>
  <c r="T211" i="1"/>
  <c r="S211" i="1"/>
  <c r="P211" i="1"/>
  <c r="O211" i="1"/>
  <c r="L211" i="1"/>
  <c r="K211" i="1"/>
  <c r="H211" i="1"/>
  <c r="G211" i="1"/>
  <c r="D211" i="1"/>
  <c r="C211" i="1"/>
  <c r="CJ210" i="1"/>
  <c r="CI210" i="1"/>
  <c r="CF210" i="1"/>
  <c r="CE210" i="1"/>
  <c r="CB210" i="1"/>
  <c r="CA210" i="1"/>
  <c r="BX210" i="1"/>
  <c r="BW210" i="1"/>
  <c r="BT210" i="1"/>
  <c r="BS210" i="1"/>
  <c r="BP210" i="1"/>
  <c r="BO210" i="1"/>
  <c r="BL210" i="1"/>
  <c r="BK210" i="1"/>
  <c r="BH210" i="1"/>
  <c r="BG210" i="1"/>
  <c r="BD210" i="1"/>
  <c r="BC210" i="1"/>
  <c r="AZ210" i="1"/>
  <c r="AY210" i="1"/>
  <c r="AV210" i="1"/>
  <c r="AU210" i="1"/>
  <c r="AR210" i="1"/>
  <c r="AQ210" i="1"/>
  <c r="AN210" i="1"/>
  <c r="AM210" i="1"/>
  <c r="AJ210" i="1"/>
  <c r="AI210" i="1"/>
  <c r="AF210" i="1"/>
  <c r="AE210" i="1"/>
  <c r="AB210" i="1"/>
  <c r="AA210" i="1"/>
  <c r="X210" i="1"/>
  <c r="W210" i="1"/>
  <c r="T210" i="1"/>
  <c r="S210" i="1"/>
  <c r="P210" i="1"/>
  <c r="O210" i="1"/>
  <c r="L210" i="1"/>
  <c r="K210" i="1"/>
  <c r="H210" i="1"/>
  <c r="G210" i="1"/>
  <c r="D210" i="1"/>
  <c r="C210" i="1"/>
  <c r="CJ208" i="1"/>
  <c r="CI208" i="1"/>
  <c r="CF208" i="1"/>
  <c r="CE208" i="1"/>
  <c r="CB208" i="1"/>
  <c r="CA208" i="1"/>
  <c r="BX208" i="1"/>
  <c r="BW208" i="1"/>
  <c r="BT208" i="1"/>
  <c r="BS208" i="1"/>
  <c r="BP208" i="1"/>
  <c r="BO208" i="1"/>
  <c r="BL208" i="1"/>
  <c r="BK208" i="1"/>
  <c r="BH208" i="1"/>
  <c r="BG208" i="1"/>
  <c r="BD208" i="1"/>
  <c r="BC208" i="1"/>
  <c r="AZ208" i="1"/>
  <c r="AY208" i="1"/>
  <c r="AV208" i="1"/>
  <c r="AU208" i="1"/>
  <c r="AR208" i="1"/>
  <c r="AQ208" i="1"/>
  <c r="AN208" i="1"/>
  <c r="AM208" i="1"/>
  <c r="AJ208" i="1"/>
  <c r="AI208" i="1"/>
  <c r="AF208" i="1"/>
  <c r="AE208" i="1"/>
  <c r="AB208" i="1"/>
  <c r="AA208" i="1"/>
  <c r="X208" i="1"/>
  <c r="W208" i="1"/>
  <c r="T208" i="1"/>
  <c r="S208" i="1"/>
  <c r="P208" i="1"/>
  <c r="O208" i="1"/>
  <c r="L208" i="1"/>
  <c r="K208" i="1"/>
  <c r="H208" i="1"/>
  <c r="G208" i="1"/>
  <c r="D208" i="1"/>
  <c r="C208" i="1"/>
  <c r="CJ207" i="1"/>
  <c r="CI207" i="1"/>
  <c r="CF207" i="1"/>
  <c r="CE207" i="1"/>
  <c r="CB207" i="1"/>
  <c r="CA207" i="1"/>
  <c r="BX207" i="1"/>
  <c r="BW207" i="1"/>
  <c r="BT207" i="1"/>
  <c r="BS207" i="1"/>
  <c r="BP207" i="1"/>
  <c r="BO207" i="1"/>
  <c r="BL207" i="1"/>
  <c r="BK207" i="1"/>
  <c r="BH207" i="1"/>
  <c r="BG207" i="1"/>
  <c r="BD207" i="1"/>
  <c r="BC207" i="1"/>
  <c r="AZ207" i="1"/>
  <c r="AY207" i="1"/>
  <c r="AV207" i="1"/>
  <c r="AU207" i="1"/>
  <c r="AR207" i="1"/>
  <c r="AQ207" i="1"/>
  <c r="AN207" i="1"/>
  <c r="AM207" i="1"/>
  <c r="AJ207" i="1"/>
  <c r="AI207" i="1"/>
  <c r="AF207" i="1"/>
  <c r="AE207" i="1"/>
  <c r="AB207" i="1"/>
  <c r="AA207" i="1"/>
  <c r="X207" i="1"/>
  <c r="W207" i="1"/>
  <c r="T207" i="1"/>
  <c r="S207" i="1"/>
  <c r="P207" i="1"/>
  <c r="O207" i="1"/>
  <c r="L207" i="1"/>
  <c r="K207" i="1"/>
  <c r="H207" i="1"/>
  <c r="G207" i="1"/>
  <c r="D207" i="1"/>
  <c r="C207" i="1"/>
  <c r="CJ206" i="1"/>
  <c r="CI206" i="1"/>
  <c r="CF206" i="1"/>
  <c r="CE206" i="1"/>
  <c r="CB206" i="1"/>
  <c r="CA206" i="1"/>
  <c r="BX206" i="1"/>
  <c r="BW206" i="1"/>
  <c r="BT206" i="1"/>
  <c r="BS206" i="1"/>
  <c r="BP206" i="1"/>
  <c r="BO206" i="1"/>
  <c r="BL206" i="1"/>
  <c r="BK206" i="1"/>
  <c r="BH206" i="1"/>
  <c r="BG206" i="1"/>
  <c r="BD206" i="1"/>
  <c r="BC206" i="1"/>
  <c r="AZ206" i="1"/>
  <c r="AY206" i="1"/>
  <c r="AV206" i="1"/>
  <c r="AU206" i="1"/>
  <c r="AR206" i="1"/>
  <c r="AQ206" i="1"/>
  <c r="AN206" i="1"/>
  <c r="AM206" i="1"/>
  <c r="AJ206" i="1"/>
  <c r="AI206" i="1"/>
  <c r="AF206" i="1"/>
  <c r="AE206" i="1"/>
  <c r="AB206" i="1"/>
  <c r="AA206" i="1"/>
  <c r="X206" i="1"/>
  <c r="W206" i="1"/>
  <c r="T206" i="1"/>
  <c r="S206" i="1"/>
  <c r="P206" i="1"/>
  <c r="O206" i="1"/>
  <c r="L206" i="1"/>
  <c r="K206" i="1"/>
  <c r="H206" i="1"/>
  <c r="G206" i="1"/>
  <c r="D206" i="1"/>
  <c r="C206" i="1"/>
  <c r="CJ205" i="1"/>
  <c r="CI205" i="1"/>
  <c r="CF205" i="1"/>
  <c r="CE205" i="1"/>
  <c r="CB205" i="1"/>
  <c r="CA205" i="1"/>
  <c r="BX205" i="1"/>
  <c r="BW205" i="1"/>
  <c r="BT205" i="1"/>
  <c r="BS205" i="1"/>
  <c r="BP205" i="1"/>
  <c r="BO205" i="1"/>
  <c r="BL205" i="1"/>
  <c r="BK205" i="1"/>
  <c r="BH205" i="1"/>
  <c r="BG205" i="1"/>
  <c r="BD205" i="1"/>
  <c r="BC205" i="1"/>
  <c r="AZ205" i="1"/>
  <c r="AY205" i="1"/>
  <c r="AV205" i="1"/>
  <c r="AU205" i="1"/>
  <c r="AR205" i="1"/>
  <c r="AQ205" i="1"/>
  <c r="AN205" i="1"/>
  <c r="AM205" i="1"/>
  <c r="AJ205" i="1"/>
  <c r="AI205" i="1"/>
  <c r="AF205" i="1"/>
  <c r="AE205" i="1"/>
  <c r="AB205" i="1"/>
  <c r="AA205" i="1"/>
  <c r="X205" i="1"/>
  <c r="W205" i="1"/>
  <c r="T205" i="1"/>
  <c r="S205" i="1"/>
  <c r="P205" i="1"/>
  <c r="O205" i="1"/>
  <c r="L205" i="1"/>
  <c r="K205" i="1"/>
  <c r="H205" i="1"/>
  <c r="G205" i="1"/>
  <c r="D205" i="1"/>
  <c r="C205" i="1"/>
  <c r="CJ204" i="1"/>
  <c r="CI204" i="1"/>
  <c r="CF204" i="1"/>
  <c r="CE204" i="1"/>
  <c r="CB204" i="1"/>
  <c r="CA204" i="1"/>
  <c r="BX204" i="1"/>
  <c r="BW204" i="1"/>
  <c r="BT204" i="1"/>
  <c r="BS204" i="1"/>
  <c r="BP204" i="1"/>
  <c r="BO204" i="1"/>
  <c r="BL204" i="1"/>
  <c r="BK204" i="1"/>
  <c r="BH204" i="1"/>
  <c r="BG204" i="1"/>
  <c r="BD204" i="1"/>
  <c r="BC204" i="1"/>
  <c r="AZ204" i="1"/>
  <c r="AY204" i="1"/>
  <c r="AV204" i="1"/>
  <c r="AU204" i="1"/>
  <c r="AR204" i="1"/>
  <c r="AQ204" i="1"/>
  <c r="AN204" i="1"/>
  <c r="AM204" i="1"/>
  <c r="AJ204" i="1"/>
  <c r="AI204" i="1"/>
  <c r="AF204" i="1"/>
  <c r="AE204" i="1"/>
  <c r="AB204" i="1"/>
  <c r="AA204" i="1"/>
  <c r="X204" i="1"/>
  <c r="W204" i="1"/>
  <c r="T204" i="1"/>
  <c r="S204" i="1"/>
  <c r="P204" i="1"/>
  <c r="O204" i="1"/>
  <c r="L204" i="1"/>
  <c r="K204" i="1"/>
  <c r="H204" i="1"/>
  <c r="G204" i="1"/>
  <c r="D204" i="1"/>
  <c r="C204" i="1"/>
  <c r="CJ203" i="1"/>
  <c r="CI203" i="1"/>
  <c r="CF203" i="1"/>
  <c r="CE203" i="1"/>
  <c r="CB203" i="1"/>
  <c r="CA203" i="1"/>
  <c r="BX203" i="1"/>
  <c r="BW203" i="1"/>
  <c r="BT203" i="1"/>
  <c r="BS203" i="1"/>
  <c r="BP203" i="1"/>
  <c r="BO203" i="1"/>
  <c r="BL203" i="1"/>
  <c r="BK203" i="1"/>
  <c r="BH203" i="1"/>
  <c r="BG203" i="1"/>
  <c r="BD203" i="1"/>
  <c r="BC203" i="1"/>
  <c r="AZ203" i="1"/>
  <c r="AY203" i="1"/>
  <c r="AV203" i="1"/>
  <c r="AU203" i="1"/>
  <c r="AR203" i="1"/>
  <c r="AQ203" i="1"/>
  <c r="AN203" i="1"/>
  <c r="AM203" i="1"/>
  <c r="AJ203" i="1"/>
  <c r="AI203" i="1"/>
  <c r="AF203" i="1"/>
  <c r="AE203" i="1"/>
  <c r="AB203" i="1"/>
  <c r="AA203" i="1"/>
  <c r="X203" i="1"/>
  <c r="W203" i="1"/>
  <c r="T203" i="1"/>
  <c r="S203" i="1"/>
  <c r="P203" i="1"/>
  <c r="O203" i="1"/>
  <c r="L203" i="1"/>
  <c r="K203" i="1"/>
  <c r="H203" i="1"/>
  <c r="G203" i="1"/>
  <c r="D203" i="1"/>
  <c r="C203" i="1"/>
  <c r="CJ202" i="1"/>
  <c r="CI202" i="1"/>
  <c r="CF202" i="1"/>
  <c r="CE202" i="1"/>
  <c r="CB202" i="1"/>
  <c r="CA202" i="1"/>
  <c r="BX202" i="1"/>
  <c r="BW202" i="1"/>
  <c r="BT202" i="1"/>
  <c r="BS202" i="1"/>
  <c r="BP202" i="1"/>
  <c r="BO202" i="1"/>
  <c r="BL202" i="1"/>
  <c r="BK202" i="1"/>
  <c r="BH202" i="1"/>
  <c r="BG202" i="1"/>
  <c r="BD202" i="1"/>
  <c r="BC202" i="1"/>
  <c r="AZ202" i="1"/>
  <c r="AY202" i="1"/>
  <c r="AV202" i="1"/>
  <c r="AU202" i="1"/>
  <c r="AR202" i="1"/>
  <c r="AQ202" i="1"/>
  <c r="AN202" i="1"/>
  <c r="AM202" i="1"/>
  <c r="AJ202" i="1"/>
  <c r="AI202" i="1"/>
  <c r="AF202" i="1"/>
  <c r="AE202" i="1"/>
  <c r="AB202" i="1"/>
  <c r="AA202" i="1"/>
  <c r="X202" i="1"/>
  <c r="W202" i="1"/>
  <c r="T202" i="1"/>
  <c r="S202" i="1"/>
  <c r="P202" i="1"/>
  <c r="O202" i="1"/>
  <c r="L202" i="1"/>
  <c r="K202" i="1"/>
  <c r="H202" i="1"/>
  <c r="G202" i="1"/>
  <c r="D202" i="1"/>
  <c r="C202" i="1"/>
  <c r="CJ201" i="1"/>
  <c r="CI201" i="1"/>
  <c r="CF201" i="1"/>
  <c r="CE201" i="1"/>
  <c r="CB201" i="1"/>
  <c r="CA201" i="1"/>
  <c r="BX201" i="1"/>
  <c r="BW201" i="1"/>
  <c r="BT201" i="1"/>
  <c r="BS201" i="1"/>
  <c r="BP201" i="1"/>
  <c r="BO201" i="1"/>
  <c r="BL201" i="1"/>
  <c r="BK201" i="1"/>
  <c r="BH201" i="1"/>
  <c r="BG201" i="1"/>
  <c r="BD201" i="1"/>
  <c r="BC201" i="1"/>
  <c r="AZ201" i="1"/>
  <c r="AY201" i="1"/>
  <c r="AV201" i="1"/>
  <c r="AU201" i="1"/>
  <c r="AR201" i="1"/>
  <c r="AQ201" i="1"/>
  <c r="AN201" i="1"/>
  <c r="AM201" i="1"/>
  <c r="AJ201" i="1"/>
  <c r="AI201" i="1"/>
  <c r="AF201" i="1"/>
  <c r="AE201" i="1"/>
  <c r="AB201" i="1"/>
  <c r="AA201" i="1"/>
  <c r="X201" i="1"/>
  <c r="W201" i="1"/>
  <c r="T201" i="1"/>
  <c r="S201" i="1"/>
  <c r="P201" i="1"/>
  <c r="O201" i="1"/>
  <c r="L201" i="1"/>
  <c r="K201" i="1"/>
  <c r="H201" i="1"/>
  <c r="G201" i="1"/>
  <c r="D201" i="1"/>
  <c r="C201" i="1"/>
  <c r="CJ199" i="1"/>
  <c r="CI199" i="1"/>
  <c r="CF199" i="1"/>
  <c r="CE199" i="1"/>
  <c r="CB199" i="1"/>
  <c r="CA199" i="1"/>
  <c r="BX199" i="1"/>
  <c r="BW199" i="1"/>
  <c r="BT199" i="1"/>
  <c r="BS199" i="1"/>
  <c r="BP199" i="1"/>
  <c r="BO199" i="1"/>
  <c r="BL199" i="1"/>
  <c r="BK199" i="1"/>
  <c r="BH199" i="1"/>
  <c r="BG199" i="1"/>
  <c r="BD199" i="1"/>
  <c r="BC199" i="1"/>
  <c r="AZ199" i="1"/>
  <c r="AY199" i="1"/>
  <c r="AV199" i="1"/>
  <c r="AU199" i="1"/>
  <c r="AR199" i="1"/>
  <c r="AQ199" i="1"/>
  <c r="AN199" i="1"/>
  <c r="AM199" i="1"/>
  <c r="AJ199" i="1"/>
  <c r="AI199" i="1"/>
  <c r="AF199" i="1"/>
  <c r="AE199" i="1"/>
  <c r="AB199" i="1"/>
  <c r="AA199" i="1"/>
  <c r="X199" i="1"/>
  <c r="W199" i="1"/>
  <c r="T199" i="1"/>
  <c r="S199" i="1"/>
  <c r="P199" i="1"/>
  <c r="O199" i="1"/>
  <c r="L199" i="1"/>
  <c r="K199" i="1"/>
  <c r="H199" i="1"/>
  <c r="G199" i="1"/>
  <c r="D199" i="1"/>
  <c r="C199" i="1"/>
  <c r="CJ198" i="1"/>
  <c r="CI198" i="1"/>
  <c r="CF198" i="1"/>
  <c r="CE198" i="1"/>
  <c r="CB198" i="1"/>
  <c r="CA198" i="1"/>
  <c r="BX198" i="1"/>
  <c r="BW198" i="1"/>
  <c r="BT198" i="1"/>
  <c r="BS198" i="1"/>
  <c r="BP198" i="1"/>
  <c r="BO198" i="1"/>
  <c r="BL198" i="1"/>
  <c r="BK198" i="1"/>
  <c r="BH198" i="1"/>
  <c r="BG198" i="1"/>
  <c r="BD198" i="1"/>
  <c r="BC198" i="1"/>
  <c r="AZ198" i="1"/>
  <c r="AY198" i="1"/>
  <c r="AV198" i="1"/>
  <c r="AU198" i="1"/>
  <c r="AR198" i="1"/>
  <c r="AQ198" i="1"/>
  <c r="AN198" i="1"/>
  <c r="AM198" i="1"/>
  <c r="AJ198" i="1"/>
  <c r="AI198" i="1"/>
  <c r="AF198" i="1"/>
  <c r="AE198" i="1"/>
  <c r="AB198" i="1"/>
  <c r="AA198" i="1"/>
  <c r="X198" i="1"/>
  <c r="W198" i="1"/>
  <c r="T198" i="1"/>
  <c r="S198" i="1"/>
  <c r="P198" i="1"/>
  <c r="O198" i="1"/>
  <c r="L198" i="1"/>
  <c r="K198" i="1"/>
  <c r="H198" i="1"/>
  <c r="G198" i="1"/>
  <c r="D198" i="1"/>
  <c r="C198" i="1"/>
  <c r="CJ197" i="1"/>
  <c r="CI197" i="1"/>
  <c r="CF197" i="1"/>
  <c r="CE197" i="1"/>
  <c r="CB197" i="1"/>
  <c r="CA197" i="1"/>
  <c r="BX197" i="1"/>
  <c r="BW197" i="1"/>
  <c r="BT197" i="1"/>
  <c r="BS197" i="1"/>
  <c r="BP197" i="1"/>
  <c r="BO197" i="1"/>
  <c r="BL197" i="1"/>
  <c r="BK197" i="1"/>
  <c r="BH197" i="1"/>
  <c r="BG197" i="1"/>
  <c r="BD197" i="1"/>
  <c r="BC197" i="1"/>
  <c r="AZ197" i="1"/>
  <c r="AY197" i="1"/>
  <c r="AV197" i="1"/>
  <c r="AU197" i="1"/>
  <c r="AR197" i="1"/>
  <c r="AQ197" i="1"/>
  <c r="AN197" i="1"/>
  <c r="AM197" i="1"/>
  <c r="AJ197" i="1"/>
  <c r="AI197" i="1"/>
  <c r="AF197" i="1"/>
  <c r="AE197" i="1"/>
  <c r="AB197" i="1"/>
  <c r="AA197" i="1"/>
  <c r="X197" i="1"/>
  <c r="W197" i="1"/>
  <c r="T197" i="1"/>
  <c r="S197" i="1"/>
  <c r="P197" i="1"/>
  <c r="O197" i="1"/>
  <c r="L197" i="1"/>
  <c r="K197" i="1"/>
  <c r="H197" i="1"/>
  <c r="G197" i="1"/>
  <c r="D197" i="1"/>
  <c r="C197" i="1"/>
  <c r="CJ196" i="1"/>
  <c r="CI196" i="1"/>
  <c r="CF196" i="1"/>
  <c r="CE196" i="1"/>
  <c r="CB196" i="1"/>
  <c r="CA196" i="1"/>
  <c r="BX196" i="1"/>
  <c r="BW196" i="1"/>
  <c r="BT196" i="1"/>
  <c r="BS196" i="1"/>
  <c r="BP196" i="1"/>
  <c r="BO196" i="1"/>
  <c r="BL196" i="1"/>
  <c r="BK196" i="1"/>
  <c r="BH196" i="1"/>
  <c r="BG196" i="1"/>
  <c r="BD196" i="1"/>
  <c r="BC196" i="1"/>
  <c r="AZ196" i="1"/>
  <c r="AY196" i="1"/>
  <c r="AV196" i="1"/>
  <c r="AU196" i="1"/>
  <c r="AR196" i="1"/>
  <c r="AQ196" i="1"/>
  <c r="AN196" i="1"/>
  <c r="AM196" i="1"/>
  <c r="AJ196" i="1"/>
  <c r="AI196" i="1"/>
  <c r="AF196" i="1"/>
  <c r="AE196" i="1"/>
  <c r="AB196" i="1"/>
  <c r="AA196" i="1"/>
  <c r="X196" i="1"/>
  <c r="W196" i="1"/>
  <c r="T196" i="1"/>
  <c r="S196" i="1"/>
  <c r="P196" i="1"/>
  <c r="O196" i="1"/>
  <c r="L196" i="1"/>
  <c r="K196" i="1"/>
  <c r="H196" i="1"/>
  <c r="G196" i="1"/>
  <c r="D196" i="1"/>
  <c r="C196" i="1"/>
  <c r="CJ194" i="1"/>
  <c r="CI194" i="1"/>
  <c r="CF194" i="1"/>
  <c r="CE194" i="1"/>
  <c r="CB194" i="1"/>
  <c r="CA194" i="1"/>
  <c r="BX194" i="1"/>
  <c r="BW194" i="1"/>
  <c r="BT194" i="1"/>
  <c r="BS194" i="1"/>
  <c r="BP194" i="1"/>
  <c r="BO194" i="1"/>
  <c r="BL194" i="1"/>
  <c r="BK194" i="1"/>
  <c r="BH194" i="1"/>
  <c r="BG194" i="1"/>
  <c r="BD194" i="1"/>
  <c r="BC194" i="1"/>
  <c r="AZ194" i="1"/>
  <c r="AY194" i="1"/>
  <c r="AV194" i="1"/>
  <c r="AU194" i="1"/>
  <c r="AR194" i="1"/>
  <c r="AQ194" i="1"/>
  <c r="AN194" i="1"/>
  <c r="AM194" i="1"/>
  <c r="AJ194" i="1"/>
  <c r="AI194" i="1"/>
  <c r="AF194" i="1"/>
  <c r="AE194" i="1"/>
  <c r="AB194" i="1"/>
  <c r="AA194" i="1"/>
  <c r="X194" i="1"/>
  <c r="W194" i="1"/>
  <c r="T194" i="1"/>
  <c r="S194" i="1"/>
  <c r="P194" i="1"/>
  <c r="O194" i="1"/>
  <c r="L194" i="1"/>
  <c r="K194" i="1"/>
  <c r="H194" i="1"/>
  <c r="G194" i="1"/>
  <c r="D194" i="1"/>
  <c r="C194" i="1"/>
  <c r="CJ193" i="1"/>
  <c r="CI193" i="1"/>
  <c r="CF193" i="1"/>
  <c r="CE193" i="1"/>
  <c r="CB193" i="1"/>
  <c r="CA193" i="1"/>
  <c r="BX193" i="1"/>
  <c r="BW193" i="1"/>
  <c r="BT193" i="1"/>
  <c r="BS193" i="1"/>
  <c r="BP193" i="1"/>
  <c r="BO193" i="1"/>
  <c r="BL193" i="1"/>
  <c r="BK193" i="1"/>
  <c r="BH193" i="1"/>
  <c r="BG193" i="1"/>
  <c r="BD193" i="1"/>
  <c r="BC193" i="1"/>
  <c r="AZ193" i="1"/>
  <c r="AY193" i="1"/>
  <c r="AV193" i="1"/>
  <c r="AU193" i="1"/>
  <c r="AR193" i="1"/>
  <c r="AQ193" i="1"/>
  <c r="AN193" i="1"/>
  <c r="AM193" i="1"/>
  <c r="AJ193" i="1"/>
  <c r="AI193" i="1"/>
  <c r="AF193" i="1"/>
  <c r="AE193" i="1"/>
  <c r="AB193" i="1"/>
  <c r="AA193" i="1"/>
  <c r="X193" i="1"/>
  <c r="W193" i="1"/>
  <c r="T193" i="1"/>
  <c r="S193" i="1"/>
  <c r="P193" i="1"/>
  <c r="O193" i="1"/>
  <c r="L193" i="1"/>
  <c r="K193" i="1"/>
  <c r="H193" i="1"/>
  <c r="G193" i="1"/>
  <c r="D193" i="1"/>
  <c r="C193" i="1"/>
  <c r="CJ192" i="1"/>
  <c r="CI192" i="1"/>
  <c r="CF192" i="1"/>
  <c r="CE192" i="1"/>
  <c r="CB192" i="1"/>
  <c r="CA192" i="1"/>
  <c r="BX192" i="1"/>
  <c r="BW192" i="1"/>
  <c r="BT192" i="1"/>
  <c r="BS192" i="1"/>
  <c r="BP192" i="1"/>
  <c r="BO192" i="1"/>
  <c r="BL192" i="1"/>
  <c r="BK192" i="1"/>
  <c r="BH192" i="1"/>
  <c r="BG192" i="1"/>
  <c r="BD192" i="1"/>
  <c r="BC192" i="1"/>
  <c r="AZ192" i="1"/>
  <c r="AY192" i="1"/>
  <c r="AV192" i="1"/>
  <c r="AU192" i="1"/>
  <c r="AR192" i="1"/>
  <c r="AQ192" i="1"/>
  <c r="AN192" i="1"/>
  <c r="AM192" i="1"/>
  <c r="AJ192" i="1"/>
  <c r="AI192" i="1"/>
  <c r="AF192" i="1"/>
  <c r="AE192" i="1"/>
  <c r="AB192" i="1"/>
  <c r="AA192" i="1"/>
  <c r="X192" i="1"/>
  <c r="W192" i="1"/>
  <c r="T192" i="1"/>
  <c r="S192" i="1"/>
  <c r="P192" i="1"/>
  <c r="O192" i="1"/>
  <c r="L192" i="1"/>
  <c r="K192" i="1"/>
  <c r="H192" i="1"/>
  <c r="G192" i="1"/>
  <c r="D192" i="1"/>
  <c r="C192" i="1"/>
  <c r="CJ191" i="1"/>
  <c r="CI191" i="1"/>
  <c r="CF191" i="1"/>
  <c r="CE191" i="1"/>
  <c r="CB191" i="1"/>
  <c r="CA191" i="1"/>
  <c r="BX191" i="1"/>
  <c r="BW191" i="1"/>
  <c r="BT191" i="1"/>
  <c r="BS191" i="1"/>
  <c r="BP191" i="1"/>
  <c r="BO191" i="1"/>
  <c r="BL191" i="1"/>
  <c r="BK191" i="1"/>
  <c r="BH191" i="1"/>
  <c r="BG191" i="1"/>
  <c r="BD191" i="1"/>
  <c r="BC191" i="1"/>
  <c r="AZ191" i="1"/>
  <c r="AY191" i="1"/>
  <c r="AV191" i="1"/>
  <c r="AU191" i="1"/>
  <c r="AR191" i="1"/>
  <c r="AQ191" i="1"/>
  <c r="AN191" i="1"/>
  <c r="AM191" i="1"/>
  <c r="AJ191" i="1"/>
  <c r="AI191" i="1"/>
  <c r="AF191" i="1"/>
  <c r="AE191" i="1"/>
  <c r="AB191" i="1"/>
  <c r="AA191" i="1"/>
  <c r="X191" i="1"/>
  <c r="W191" i="1"/>
  <c r="T191" i="1"/>
  <c r="S191" i="1"/>
  <c r="P191" i="1"/>
  <c r="O191" i="1"/>
  <c r="L191" i="1"/>
  <c r="K191" i="1"/>
  <c r="H191" i="1"/>
  <c r="G191" i="1"/>
  <c r="D191" i="1"/>
  <c r="C191" i="1"/>
  <c r="CJ189" i="1"/>
  <c r="CI189" i="1"/>
  <c r="CF189" i="1"/>
  <c r="CE189" i="1"/>
  <c r="CB189" i="1"/>
  <c r="CA189" i="1"/>
  <c r="BX189" i="1"/>
  <c r="BW189" i="1"/>
  <c r="BT189" i="1"/>
  <c r="BS189" i="1"/>
  <c r="BP189" i="1"/>
  <c r="BO189" i="1"/>
  <c r="BL189" i="1"/>
  <c r="BK189" i="1"/>
  <c r="BH189" i="1"/>
  <c r="BG189" i="1"/>
  <c r="BD189" i="1"/>
  <c r="BC189" i="1"/>
  <c r="AZ189" i="1"/>
  <c r="AY189" i="1"/>
  <c r="AV189" i="1"/>
  <c r="AU189" i="1"/>
  <c r="AR189" i="1"/>
  <c r="AQ189" i="1"/>
  <c r="AN189" i="1"/>
  <c r="AM189" i="1"/>
  <c r="AJ189" i="1"/>
  <c r="AI189" i="1"/>
  <c r="AF189" i="1"/>
  <c r="AE189" i="1"/>
  <c r="AB189" i="1"/>
  <c r="AA189" i="1"/>
  <c r="X189" i="1"/>
  <c r="W189" i="1"/>
  <c r="T189" i="1"/>
  <c r="S189" i="1"/>
  <c r="P189" i="1"/>
  <c r="O189" i="1"/>
  <c r="L189" i="1"/>
  <c r="K189" i="1"/>
  <c r="H189" i="1"/>
  <c r="G189" i="1"/>
  <c r="D189" i="1"/>
  <c r="C189" i="1"/>
  <c r="CJ188" i="1"/>
  <c r="CI188" i="1"/>
  <c r="CF188" i="1"/>
  <c r="CE188" i="1"/>
  <c r="CB188" i="1"/>
  <c r="CA188" i="1"/>
  <c r="BX188" i="1"/>
  <c r="BW188" i="1"/>
  <c r="BT188" i="1"/>
  <c r="BS188" i="1"/>
  <c r="BP188" i="1"/>
  <c r="BO188" i="1"/>
  <c r="BL188" i="1"/>
  <c r="BK188" i="1"/>
  <c r="BH188" i="1"/>
  <c r="BG188" i="1"/>
  <c r="BD188" i="1"/>
  <c r="BC188" i="1"/>
  <c r="AZ188" i="1"/>
  <c r="AY188" i="1"/>
  <c r="AV188" i="1"/>
  <c r="AU188" i="1"/>
  <c r="AR188" i="1"/>
  <c r="AQ188" i="1"/>
  <c r="AN188" i="1"/>
  <c r="AM188" i="1"/>
  <c r="AJ188" i="1"/>
  <c r="AI188" i="1"/>
  <c r="AF188" i="1"/>
  <c r="AE188" i="1"/>
  <c r="AB188" i="1"/>
  <c r="AA188" i="1"/>
  <c r="X188" i="1"/>
  <c r="W188" i="1"/>
  <c r="T188" i="1"/>
  <c r="S188" i="1"/>
  <c r="P188" i="1"/>
  <c r="O188" i="1"/>
  <c r="L188" i="1"/>
  <c r="K188" i="1"/>
  <c r="H188" i="1"/>
  <c r="G188" i="1"/>
  <c r="D188" i="1"/>
  <c r="C188" i="1"/>
  <c r="CJ187" i="1"/>
  <c r="CI187" i="1"/>
  <c r="CF187" i="1"/>
  <c r="CE187" i="1"/>
  <c r="CB187" i="1"/>
  <c r="CA187" i="1"/>
  <c r="BX187" i="1"/>
  <c r="BW187" i="1"/>
  <c r="BT187" i="1"/>
  <c r="BS187" i="1"/>
  <c r="BP187" i="1"/>
  <c r="BO187" i="1"/>
  <c r="BL187" i="1"/>
  <c r="BK187" i="1"/>
  <c r="BH187" i="1"/>
  <c r="BG187" i="1"/>
  <c r="BD187" i="1"/>
  <c r="BC187" i="1"/>
  <c r="AZ187" i="1"/>
  <c r="AY187" i="1"/>
  <c r="AV187" i="1"/>
  <c r="AU187" i="1"/>
  <c r="AR187" i="1"/>
  <c r="AQ187" i="1"/>
  <c r="AN187" i="1"/>
  <c r="AM187" i="1"/>
  <c r="AJ187" i="1"/>
  <c r="AI187" i="1"/>
  <c r="AF187" i="1"/>
  <c r="AE187" i="1"/>
  <c r="AB187" i="1"/>
  <c r="AA187" i="1"/>
  <c r="X187" i="1"/>
  <c r="W187" i="1"/>
  <c r="T187" i="1"/>
  <c r="S187" i="1"/>
  <c r="P187" i="1"/>
  <c r="O187" i="1"/>
  <c r="L187" i="1"/>
  <c r="K187" i="1"/>
  <c r="H187" i="1"/>
  <c r="G187" i="1"/>
  <c r="D187" i="1"/>
  <c r="C187" i="1"/>
  <c r="CJ186" i="1"/>
  <c r="CI186" i="1"/>
  <c r="CF186" i="1"/>
  <c r="CE186" i="1"/>
  <c r="CB186" i="1"/>
  <c r="CA186" i="1"/>
  <c r="BX186" i="1"/>
  <c r="BW186" i="1"/>
  <c r="BT186" i="1"/>
  <c r="BS186" i="1"/>
  <c r="BP186" i="1"/>
  <c r="BO186" i="1"/>
  <c r="BL186" i="1"/>
  <c r="BK186" i="1"/>
  <c r="BH186" i="1"/>
  <c r="BG186" i="1"/>
  <c r="BD186" i="1"/>
  <c r="BC186" i="1"/>
  <c r="AZ186" i="1"/>
  <c r="AY186" i="1"/>
  <c r="AV186" i="1"/>
  <c r="AU186" i="1"/>
  <c r="AR186" i="1"/>
  <c r="AQ186" i="1"/>
  <c r="AN186" i="1"/>
  <c r="AM186" i="1"/>
  <c r="AJ186" i="1"/>
  <c r="AI186" i="1"/>
  <c r="AF186" i="1"/>
  <c r="AE186" i="1"/>
  <c r="AB186" i="1"/>
  <c r="AA186" i="1"/>
  <c r="X186" i="1"/>
  <c r="W186" i="1"/>
  <c r="T186" i="1"/>
  <c r="S186" i="1"/>
  <c r="P186" i="1"/>
  <c r="O186" i="1"/>
  <c r="L186" i="1"/>
  <c r="K186" i="1"/>
  <c r="H186" i="1"/>
  <c r="G186" i="1"/>
  <c r="D186" i="1"/>
  <c r="C186" i="1"/>
  <c r="CJ184" i="1"/>
  <c r="CI184" i="1"/>
  <c r="CF184" i="1"/>
  <c r="CE184" i="1"/>
  <c r="CB184" i="1"/>
  <c r="CA184" i="1"/>
  <c r="BX184" i="1"/>
  <c r="BW184" i="1"/>
  <c r="BT184" i="1"/>
  <c r="BS184" i="1"/>
  <c r="BP184" i="1"/>
  <c r="BO184" i="1"/>
  <c r="BL184" i="1"/>
  <c r="BK184" i="1"/>
  <c r="BH184" i="1"/>
  <c r="BG184" i="1"/>
  <c r="BD184" i="1"/>
  <c r="BC184" i="1"/>
  <c r="AZ184" i="1"/>
  <c r="AY184" i="1"/>
  <c r="AV184" i="1"/>
  <c r="AU184" i="1"/>
  <c r="AR184" i="1"/>
  <c r="AQ184" i="1"/>
  <c r="AN184" i="1"/>
  <c r="AM184" i="1"/>
  <c r="AJ184" i="1"/>
  <c r="AI184" i="1"/>
  <c r="AF184" i="1"/>
  <c r="AE184" i="1"/>
  <c r="AB184" i="1"/>
  <c r="AA184" i="1"/>
  <c r="X184" i="1"/>
  <c r="W184" i="1"/>
  <c r="T184" i="1"/>
  <c r="S184" i="1"/>
  <c r="P184" i="1"/>
  <c r="O184" i="1"/>
  <c r="L184" i="1"/>
  <c r="K184" i="1"/>
  <c r="H184" i="1"/>
  <c r="G184" i="1"/>
  <c r="D184" i="1"/>
  <c r="C184" i="1"/>
  <c r="CJ183" i="1"/>
  <c r="CI183" i="1"/>
  <c r="CF183" i="1"/>
  <c r="CE183" i="1"/>
  <c r="CB183" i="1"/>
  <c r="CA183" i="1"/>
  <c r="BX183" i="1"/>
  <c r="BW183" i="1"/>
  <c r="BT183" i="1"/>
  <c r="BS183" i="1"/>
  <c r="BP183" i="1"/>
  <c r="BO183" i="1"/>
  <c r="BL183" i="1"/>
  <c r="BK183" i="1"/>
  <c r="BH183" i="1"/>
  <c r="BG183" i="1"/>
  <c r="BD183" i="1"/>
  <c r="BC183" i="1"/>
  <c r="AZ183" i="1"/>
  <c r="AY183" i="1"/>
  <c r="AV183" i="1"/>
  <c r="AU183" i="1"/>
  <c r="AR183" i="1"/>
  <c r="AQ183" i="1"/>
  <c r="AN183" i="1"/>
  <c r="AM183" i="1"/>
  <c r="AJ183" i="1"/>
  <c r="AI183" i="1"/>
  <c r="AF183" i="1"/>
  <c r="AE183" i="1"/>
  <c r="AB183" i="1"/>
  <c r="AA183" i="1"/>
  <c r="X183" i="1"/>
  <c r="W183" i="1"/>
  <c r="T183" i="1"/>
  <c r="S183" i="1"/>
  <c r="P183" i="1"/>
  <c r="O183" i="1"/>
  <c r="L183" i="1"/>
  <c r="K183" i="1"/>
  <c r="H183" i="1"/>
  <c r="G183" i="1"/>
  <c r="D183" i="1"/>
  <c r="C183" i="1"/>
  <c r="CJ182" i="1"/>
  <c r="CI182" i="1"/>
  <c r="CF182" i="1"/>
  <c r="CE182" i="1"/>
  <c r="CB182" i="1"/>
  <c r="CA182" i="1"/>
  <c r="BX182" i="1"/>
  <c r="BW182" i="1"/>
  <c r="BT182" i="1"/>
  <c r="BS182" i="1"/>
  <c r="BP182" i="1"/>
  <c r="BO182" i="1"/>
  <c r="BL182" i="1"/>
  <c r="BK182" i="1"/>
  <c r="BH182" i="1"/>
  <c r="BG182" i="1"/>
  <c r="BD182" i="1"/>
  <c r="BC182" i="1"/>
  <c r="AZ182" i="1"/>
  <c r="AY182" i="1"/>
  <c r="AV182" i="1"/>
  <c r="AU182" i="1"/>
  <c r="AR182" i="1"/>
  <c r="AQ182" i="1"/>
  <c r="AN182" i="1"/>
  <c r="AM182" i="1"/>
  <c r="AJ182" i="1"/>
  <c r="AI182" i="1"/>
  <c r="AF182" i="1"/>
  <c r="AE182" i="1"/>
  <c r="AB182" i="1"/>
  <c r="AA182" i="1"/>
  <c r="X182" i="1"/>
  <c r="W182" i="1"/>
  <c r="T182" i="1"/>
  <c r="S182" i="1"/>
  <c r="P182" i="1"/>
  <c r="O182" i="1"/>
  <c r="L182" i="1"/>
  <c r="K182" i="1"/>
  <c r="H182" i="1"/>
  <c r="G182" i="1"/>
  <c r="D182" i="1"/>
  <c r="C182" i="1"/>
  <c r="CJ181" i="1"/>
  <c r="CI181" i="1"/>
  <c r="CF181" i="1"/>
  <c r="CE181" i="1"/>
  <c r="CB181" i="1"/>
  <c r="CA181" i="1"/>
  <c r="BX181" i="1"/>
  <c r="BW181" i="1"/>
  <c r="BT181" i="1"/>
  <c r="BS181" i="1"/>
  <c r="BP181" i="1"/>
  <c r="BO181" i="1"/>
  <c r="BL181" i="1"/>
  <c r="BK181" i="1"/>
  <c r="BH181" i="1"/>
  <c r="BG181" i="1"/>
  <c r="BD181" i="1"/>
  <c r="BC181" i="1"/>
  <c r="AZ181" i="1"/>
  <c r="AY181" i="1"/>
  <c r="AV181" i="1"/>
  <c r="AU181" i="1"/>
  <c r="AR181" i="1"/>
  <c r="AQ181" i="1"/>
  <c r="AN181" i="1"/>
  <c r="AM181" i="1"/>
  <c r="AJ181" i="1"/>
  <c r="AI181" i="1"/>
  <c r="AF181" i="1"/>
  <c r="AE181" i="1"/>
  <c r="AB181" i="1"/>
  <c r="AA181" i="1"/>
  <c r="X181" i="1"/>
  <c r="W181" i="1"/>
  <c r="T181" i="1"/>
  <c r="S181" i="1"/>
  <c r="P181" i="1"/>
  <c r="O181" i="1"/>
  <c r="L181" i="1"/>
  <c r="K181" i="1"/>
  <c r="H181" i="1"/>
  <c r="G181" i="1"/>
  <c r="D181" i="1"/>
  <c r="C181" i="1"/>
  <c r="CJ179" i="1"/>
  <c r="CI179" i="1"/>
  <c r="CF179" i="1"/>
  <c r="CE179" i="1"/>
  <c r="CB179" i="1"/>
  <c r="CA179" i="1"/>
  <c r="BX179" i="1"/>
  <c r="BW179" i="1"/>
  <c r="BT179" i="1"/>
  <c r="BS179" i="1"/>
  <c r="BP179" i="1"/>
  <c r="BO179" i="1"/>
  <c r="BL179" i="1"/>
  <c r="BK179" i="1"/>
  <c r="BH179" i="1"/>
  <c r="BG179" i="1"/>
  <c r="BD179" i="1"/>
  <c r="BC179" i="1"/>
  <c r="AZ179" i="1"/>
  <c r="AY179" i="1"/>
  <c r="AV179" i="1"/>
  <c r="AU179" i="1"/>
  <c r="AR179" i="1"/>
  <c r="AQ179" i="1"/>
  <c r="AN179" i="1"/>
  <c r="AM179" i="1"/>
  <c r="AJ179" i="1"/>
  <c r="AI179" i="1"/>
  <c r="AF179" i="1"/>
  <c r="AE179" i="1"/>
  <c r="AB179" i="1"/>
  <c r="AA179" i="1"/>
  <c r="X179" i="1"/>
  <c r="W179" i="1"/>
  <c r="T179" i="1"/>
  <c r="S179" i="1"/>
  <c r="P179" i="1"/>
  <c r="O179" i="1"/>
  <c r="L179" i="1"/>
  <c r="K179" i="1"/>
  <c r="H179" i="1"/>
  <c r="G179" i="1"/>
  <c r="D179" i="1"/>
  <c r="C179" i="1"/>
  <c r="CJ178" i="1"/>
  <c r="CI178" i="1"/>
  <c r="CF178" i="1"/>
  <c r="CE178" i="1"/>
  <c r="CB178" i="1"/>
  <c r="CA178" i="1"/>
  <c r="BX178" i="1"/>
  <c r="BW178" i="1"/>
  <c r="BT178" i="1"/>
  <c r="BS178" i="1"/>
  <c r="BP178" i="1"/>
  <c r="BO178" i="1"/>
  <c r="BL178" i="1"/>
  <c r="BK178" i="1"/>
  <c r="BH178" i="1"/>
  <c r="BG178" i="1"/>
  <c r="BD178" i="1"/>
  <c r="BC178" i="1"/>
  <c r="AZ178" i="1"/>
  <c r="AY178" i="1"/>
  <c r="AV178" i="1"/>
  <c r="AU178" i="1"/>
  <c r="AR178" i="1"/>
  <c r="AQ178" i="1"/>
  <c r="AN178" i="1"/>
  <c r="AM178" i="1"/>
  <c r="AJ178" i="1"/>
  <c r="AI178" i="1"/>
  <c r="AF178" i="1"/>
  <c r="AE178" i="1"/>
  <c r="AB178" i="1"/>
  <c r="AA178" i="1"/>
  <c r="X178" i="1"/>
  <c r="W178" i="1"/>
  <c r="T178" i="1"/>
  <c r="S178" i="1"/>
  <c r="P178" i="1"/>
  <c r="O178" i="1"/>
  <c r="L178" i="1"/>
  <c r="K178" i="1"/>
  <c r="H178" i="1"/>
  <c r="G178" i="1"/>
  <c r="D178" i="1"/>
  <c r="C178" i="1"/>
  <c r="CJ177" i="1"/>
  <c r="CI177" i="1"/>
  <c r="CF177" i="1"/>
  <c r="CE177" i="1"/>
  <c r="CB177" i="1"/>
  <c r="CA177" i="1"/>
  <c r="BX177" i="1"/>
  <c r="BW177" i="1"/>
  <c r="BT177" i="1"/>
  <c r="BS177" i="1"/>
  <c r="BP177" i="1"/>
  <c r="BO177" i="1"/>
  <c r="BL177" i="1"/>
  <c r="BK177" i="1"/>
  <c r="BH177" i="1"/>
  <c r="BG177" i="1"/>
  <c r="BD177" i="1"/>
  <c r="BC177" i="1"/>
  <c r="AZ177" i="1"/>
  <c r="AY177" i="1"/>
  <c r="AV177" i="1"/>
  <c r="AU177" i="1"/>
  <c r="AR177" i="1"/>
  <c r="AQ177" i="1"/>
  <c r="AN177" i="1"/>
  <c r="AM177" i="1"/>
  <c r="AJ177" i="1"/>
  <c r="AI177" i="1"/>
  <c r="AF177" i="1"/>
  <c r="AE177" i="1"/>
  <c r="AB177" i="1"/>
  <c r="AA177" i="1"/>
  <c r="X177" i="1"/>
  <c r="W177" i="1"/>
  <c r="T177" i="1"/>
  <c r="S177" i="1"/>
  <c r="P177" i="1"/>
  <c r="O177" i="1"/>
  <c r="L177" i="1"/>
  <c r="K177" i="1"/>
  <c r="H177" i="1"/>
  <c r="G177" i="1"/>
  <c r="D177" i="1"/>
  <c r="C177" i="1"/>
  <c r="CJ176" i="1"/>
  <c r="CI176" i="1"/>
  <c r="CF176" i="1"/>
  <c r="CE176" i="1"/>
  <c r="CB176" i="1"/>
  <c r="CA176" i="1"/>
  <c r="BX176" i="1"/>
  <c r="BW176" i="1"/>
  <c r="BT176" i="1"/>
  <c r="BS176" i="1"/>
  <c r="BP176" i="1"/>
  <c r="BO176" i="1"/>
  <c r="BL176" i="1"/>
  <c r="BK176" i="1"/>
  <c r="BH176" i="1"/>
  <c r="BG176" i="1"/>
  <c r="BD176" i="1"/>
  <c r="BC176" i="1"/>
  <c r="AZ176" i="1"/>
  <c r="AY176" i="1"/>
  <c r="AV176" i="1"/>
  <c r="AU176" i="1"/>
  <c r="AR176" i="1"/>
  <c r="AQ176" i="1"/>
  <c r="AN176" i="1"/>
  <c r="AM176" i="1"/>
  <c r="AJ176" i="1"/>
  <c r="AI176" i="1"/>
  <c r="AF176" i="1"/>
  <c r="AE176" i="1"/>
  <c r="AB176" i="1"/>
  <c r="AA176" i="1"/>
  <c r="X176" i="1"/>
  <c r="W176" i="1"/>
  <c r="T176" i="1"/>
  <c r="S176" i="1"/>
  <c r="P176" i="1"/>
  <c r="O176" i="1"/>
  <c r="L176" i="1"/>
  <c r="K176" i="1"/>
  <c r="H176" i="1"/>
  <c r="G176" i="1"/>
  <c r="D176" i="1"/>
  <c r="C176" i="1"/>
  <c r="CJ174" i="1"/>
  <c r="CI174" i="1"/>
  <c r="CF174" i="1"/>
  <c r="CE174" i="1"/>
  <c r="CB174" i="1"/>
  <c r="CA174" i="1"/>
  <c r="BX174" i="1"/>
  <c r="BW174" i="1"/>
  <c r="BT174" i="1"/>
  <c r="BS174" i="1"/>
  <c r="BP174" i="1"/>
  <c r="BO174" i="1"/>
  <c r="BL174" i="1"/>
  <c r="BK174" i="1"/>
  <c r="BH174" i="1"/>
  <c r="BG174" i="1"/>
  <c r="BD174" i="1"/>
  <c r="BC174" i="1"/>
  <c r="AZ174" i="1"/>
  <c r="AY174" i="1"/>
  <c r="AV174" i="1"/>
  <c r="AU174" i="1"/>
  <c r="AR174" i="1"/>
  <c r="AQ174" i="1"/>
  <c r="AN174" i="1"/>
  <c r="AM174" i="1"/>
  <c r="AJ174" i="1"/>
  <c r="AI174" i="1"/>
  <c r="AF174" i="1"/>
  <c r="AE174" i="1"/>
  <c r="AB174" i="1"/>
  <c r="AA174" i="1"/>
  <c r="X174" i="1"/>
  <c r="W174" i="1"/>
  <c r="T174" i="1"/>
  <c r="S174" i="1"/>
  <c r="P174" i="1"/>
  <c r="O174" i="1"/>
  <c r="L174" i="1"/>
  <c r="K174" i="1"/>
  <c r="H174" i="1"/>
  <c r="G174" i="1"/>
  <c r="D174" i="1"/>
  <c r="C174" i="1"/>
  <c r="CJ173" i="1"/>
  <c r="CI173" i="1"/>
  <c r="CF173" i="1"/>
  <c r="CE173" i="1"/>
  <c r="CB173" i="1"/>
  <c r="CA173" i="1"/>
  <c r="BX173" i="1"/>
  <c r="BW173" i="1"/>
  <c r="BT173" i="1"/>
  <c r="BS173" i="1"/>
  <c r="BP173" i="1"/>
  <c r="BO173" i="1"/>
  <c r="BL173" i="1"/>
  <c r="BK173" i="1"/>
  <c r="BH173" i="1"/>
  <c r="BG173" i="1"/>
  <c r="BD173" i="1"/>
  <c r="BC173" i="1"/>
  <c r="AZ173" i="1"/>
  <c r="AY173" i="1"/>
  <c r="AV173" i="1"/>
  <c r="AU173" i="1"/>
  <c r="AR173" i="1"/>
  <c r="AQ173" i="1"/>
  <c r="AN173" i="1"/>
  <c r="AM173" i="1"/>
  <c r="AJ173" i="1"/>
  <c r="AI173" i="1"/>
  <c r="AF173" i="1"/>
  <c r="AE173" i="1"/>
  <c r="AB173" i="1"/>
  <c r="AA173" i="1"/>
  <c r="X173" i="1"/>
  <c r="W173" i="1"/>
  <c r="T173" i="1"/>
  <c r="S173" i="1"/>
  <c r="P173" i="1"/>
  <c r="O173" i="1"/>
  <c r="L173" i="1"/>
  <c r="K173" i="1"/>
  <c r="H173" i="1"/>
  <c r="G173" i="1"/>
  <c r="D173" i="1"/>
  <c r="C173" i="1"/>
  <c r="CJ172" i="1"/>
  <c r="CI172" i="1"/>
  <c r="CF172" i="1"/>
  <c r="CE172" i="1"/>
  <c r="CB172" i="1"/>
  <c r="CA172" i="1"/>
  <c r="BX172" i="1"/>
  <c r="BW172" i="1"/>
  <c r="BT172" i="1"/>
  <c r="BS172" i="1"/>
  <c r="BP172" i="1"/>
  <c r="BO172" i="1"/>
  <c r="BL172" i="1"/>
  <c r="BK172" i="1"/>
  <c r="BH172" i="1"/>
  <c r="BG172" i="1"/>
  <c r="BD172" i="1"/>
  <c r="BC172" i="1"/>
  <c r="AZ172" i="1"/>
  <c r="AY172" i="1"/>
  <c r="AV172" i="1"/>
  <c r="AU172" i="1"/>
  <c r="AR172" i="1"/>
  <c r="AQ172" i="1"/>
  <c r="AN172" i="1"/>
  <c r="AM172" i="1"/>
  <c r="AJ172" i="1"/>
  <c r="AI172" i="1"/>
  <c r="AF172" i="1"/>
  <c r="AE172" i="1"/>
  <c r="AB172" i="1"/>
  <c r="AA172" i="1"/>
  <c r="X172" i="1"/>
  <c r="W172" i="1"/>
  <c r="T172" i="1"/>
  <c r="S172" i="1"/>
  <c r="P172" i="1"/>
  <c r="O172" i="1"/>
  <c r="L172" i="1"/>
  <c r="K172" i="1"/>
  <c r="H172" i="1"/>
  <c r="G172" i="1"/>
  <c r="D172" i="1"/>
  <c r="C172" i="1"/>
  <c r="CJ171" i="1"/>
  <c r="CI171" i="1"/>
  <c r="CF171" i="1"/>
  <c r="CE171" i="1"/>
  <c r="CB171" i="1"/>
  <c r="CA171" i="1"/>
  <c r="BX171" i="1"/>
  <c r="BW171" i="1"/>
  <c r="BT171" i="1"/>
  <c r="BS171" i="1"/>
  <c r="BP171" i="1"/>
  <c r="BO171" i="1"/>
  <c r="BL171" i="1"/>
  <c r="BK171" i="1"/>
  <c r="BH171" i="1"/>
  <c r="BG171" i="1"/>
  <c r="BD171" i="1"/>
  <c r="BC171" i="1"/>
  <c r="AZ171" i="1"/>
  <c r="AY171" i="1"/>
  <c r="AV171" i="1"/>
  <c r="AU171" i="1"/>
  <c r="AR171" i="1"/>
  <c r="AQ171" i="1"/>
  <c r="AN171" i="1"/>
  <c r="AM171" i="1"/>
  <c r="AJ171" i="1"/>
  <c r="AI171" i="1"/>
  <c r="AF171" i="1"/>
  <c r="AE171" i="1"/>
  <c r="AB171" i="1"/>
  <c r="AA171" i="1"/>
  <c r="X171" i="1"/>
  <c r="W171" i="1"/>
  <c r="T171" i="1"/>
  <c r="S171" i="1"/>
  <c r="P171" i="1"/>
  <c r="O171" i="1"/>
  <c r="L171" i="1"/>
  <c r="K171" i="1"/>
  <c r="H171" i="1"/>
  <c r="G171" i="1"/>
  <c r="D171" i="1"/>
  <c r="C171" i="1"/>
  <c r="CJ169" i="1"/>
  <c r="CI169" i="1"/>
  <c r="CF169" i="1"/>
  <c r="CE169" i="1"/>
  <c r="CB169" i="1"/>
  <c r="CA169" i="1"/>
  <c r="BX169" i="1"/>
  <c r="BW169" i="1"/>
  <c r="BT169" i="1"/>
  <c r="BS169" i="1"/>
  <c r="BP169" i="1"/>
  <c r="BO169" i="1"/>
  <c r="BL169" i="1"/>
  <c r="BK169" i="1"/>
  <c r="BH169" i="1"/>
  <c r="BG169" i="1"/>
  <c r="BD169" i="1"/>
  <c r="BC169" i="1"/>
  <c r="AZ169" i="1"/>
  <c r="AY169" i="1"/>
  <c r="AV169" i="1"/>
  <c r="AU169" i="1"/>
  <c r="AR169" i="1"/>
  <c r="AQ169" i="1"/>
  <c r="AN169" i="1"/>
  <c r="AM169" i="1"/>
  <c r="AJ169" i="1"/>
  <c r="AI169" i="1"/>
  <c r="AF169" i="1"/>
  <c r="AE169" i="1"/>
  <c r="AB169" i="1"/>
  <c r="AA169" i="1"/>
  <c r="X169" i="1"/>
  <c r="W169" i="1"/>
  <c r="T169" i="1"/>
  <c r="S169" i="1"/>
  <c r="P169" i="1"/>
  <c r="O169" i="1"/>
  <c r="L169" i="1"/>
  <c r="K169" i="1"/>
  <c r="H169" i="1"/>
  <c r="G169" i="1"/>
  <c r="D169" i="1"/>
  <c r="C169" i="1"/>
  <c r="CJ168" i="1"/>
  <c r="CI168" i="1"/>
  <c r="CF168" i="1"/>
  <c r="CE168" i="1"/>
  <c r="CB168" i="1"/>
  <c r="CA168" i="1"/>
  <c r="BX168" i="1"/>
  <c r="BW168" i="1"/>
  <c r="BT168" i="1"/>
  <c r="BS168" i="1"/>
  <c r="BP168" i="1"/>
  <c r="BO168" i="1"/>
  <c r="BL168" i="1"/>
  <c r="BK168" i="1"/>
  <c r="BH168" i="1"/>
  <c r="BG168" i="1"/>
  <c r="BD168" i="1"/>
  <c r="BC168" i="1"/>
  <c r="AZ168" i="1"/>
  <c r="AY168" i="1"/>
  <c r="AV168" i="1"/>
  <c r="AU168" i="1"/>
  <c r="AR168" i="1"/>
  <c r="AQ168" i="1"/>
  <c r="AN168" i="1"/>
  <c r="AM168" i="1"/>
  <c r="AJ168" i="1"/>
  <c r="AI168" i="1"/>
  <c r="AF168" i="1"/>
  <c r="AE168" i="1"/>
  <c r="AB168" i="1"/>
  <c r="AA168" i="1"/>
  <c r="X168" i="1"/>
  <c r="W168" i="1"/>
  <c r="T168" i="1"/>
  <c r="S168" i="1"/>
  <c r="P168" i="1"/>
  <c r="O168" i="1"/>
  <c r="L168" i="1"/>
  <c r="K168" i="1"/>
  <c r="H168" i="1"/>
  <c r="G168" i="1"/>
  <c r="D168" i="1"/>
  <c r="C168" i="1"/>
  <c r="CJ167" i="1"/>
  <c r="CI167" i="1"/>
  <c r="CF167" i="1"/>
  <c r="CE167" i="1"/>
  <c r="CB167" i="1"/>
  <c r="CA167" i="1"/>
  <c r="BX167" i="1"/>
  <c r="BW167" i="1"/>
  <c r="BT167" i="1"/>
  <c r="BS167" i="1"/>
  <c r="BP167" i="1"/>
  <c r="BO167" i="1"/>
  <c r="BL167" i="1"/>
  <c r="BK167" i="1"/>
  <c r="BH167" i="1"/>
  <c r="BG167" i="1"/>
  <c r="BD167" i="1"/>
  <c r="BC167" i="1"/>
  <c r="AZ167" i="1"/>
  <c r="AY167" i="1"/>
  <c r="AV167" i="1"/>
  <c r="AU167" i="1"/>
  <c r="AR167" i="1"/>
  <c r="AQ167" i="1"/>
  <c r="AN167" i="1"/>
  <c r="AM167" i="1"/>
  <c r="AJ167" i="1"/>
  <c r="AI167" i="1"/>
  <c r="AF167" i="1"/>
  <c r="AE167" i="1"/>
  <c r="AB167" i="1"/>
  <c r="AA167" i="1"/>
  <c r="X167" i="1"/>
  <c r="W167" i="1"/>
  <c r="T167" i="1"/>
  <c r="S167" i="1"/>
  <c r="P167" i="1"/>
  <c r="O167" i="1"/>
  <c r="L167" i="1"/>
  <c r="K167" i="1"/>
  <c r="H167" i="1"/>
  <c r="G167" i="1"/>
  <c r="D167" i="1"/>
  <c r="C167" i="1"/>
  <c r="CJ166" i="1"/>
  <c r="CI166" i="1"/>
  <c r="CF166" i="1"/>
  <c r="CE166" i="1"/>
  <c r="CB166" i="1"/>
  <c r="CA166" i="1"/>
  <c r="BX166" i="1"/>
  <c r="BW166" i="1"/>
  <c r="BT166" i="1"/>
  <c r="BS166" i="1"/>
  <c r="BP166" i="1"/>
  <c r="BO166" i="1"/>
  <c r="BL166" i="1"/>
  <c r="BK166" i="1"/>
  <c r="BH166" i="1"/>
  <c r="BG166" i="1"/>
  <c r="BD166" i="1"/>
  <c r="BC166" i="1"/>
  <c r="AZ166" i="1"/>
  <c r="AY166" i="1"/>
  <c r="AV166" i="1"/>
  <c r="AU166" i="1"/>
  <c r="AR166" i="1"/>
  <c r="AQ166" i="1"/>
  <c r="AN166" i="1"/>
  <c r="AM166" i="1"/>
  <c r="AJ166" i="1"/>
  <c r="AI166" i="1"/>
  <c r="AF166" i="1"/>
  <c r="AE166" i="1"/>
  <c r="AB166" i="1"/>
  <c r="AA166" i="1"/>
  <c r="X166" i="1"/>
  <c r="W166" i="1"/>
  <c r="T166" i="1"/>
  <c r="S166" i="1"/>
  <c r="P166" i="1"/>
  <c r="O166" i="1"/>
  <c r="L166" i="1"/>
  <c r="K166" i="1"/>
  <c r="H166" i="1"/>
  <c r="G166" i="1"/>
  <c r="D166" i="1"/>
  <c r="C166" i="1"/>
  <c r="CJ164" i="1"/>
  <c r="CI164" i="1"/>
  <c r="CF164" i="1"/>
  <c r="CE164" i="1"/>
  <c r="CB164" i="1"/>
  <c r="CA164" i="1"/>
  <c r="BX164" i="1"/>
  <c r="BW164" i="1"/>
  <c r="BT164" i="1"/>
  <c r="BS164" i="1"/>
  <c r="BP164" i="1"/>
  <c r="BO164" i="1"/>
  <c r="BL164" i="1"/>
  <c r="BK164" i="1"/>
  <c r="BH164" i="1"/>
  <c r="BG164" i="1"/>
  <c r="BD164" i="1"/>
  <c r="BC164" i="1"/>
  <c r="AZ164" i="1"/>
  <c r="AY164" i="1"/>
  <c r="AV164" i="1"/>
  <c r="AU164" i="1"/>
  <c r="AR164" i="1"/>
  <c r="AQ164" i="1"/>
  <c r="AN164" i="1"/>
  <c r="AM164" i="1"/>
  <c r="AJ164" i="1"/>
  <c r="AI164" i="1"/>
  <c r="AF164" i="1"/>
  <c r="AE164" i="1"/>
  <c r="AB164" i="1"/>
  <c r="AA164" i="1"/>
  <c r="X164" i="1"/>
  <c r="W164" i="1"/>
  <c r="T164" i="1"/>
  <c r="S164" i="1"/>
  <c r="P164" i="1"/>
  <c r="O164" i="1"/>
  <c r="L164" i="1"/>
  <c r="K164" i="1"/>
  <c r="H164" i="1"/>
  <c r="G164" i="1"/>
  <c r="D164" i="1"/>
  <c r="C164" i="1"/>
  <c r="CJ163" i="1"/>
  <c r="CI163" i="1"/>
  <c r="CF163" i="1"/>
  <c r="CE163" i="1"/>
  <c r="CB163" i="1"/>
  <c r="CA163" i="1"/>
  <c r="BX163" i="1"/>
  <c r="BW163" i="1"/>
  <c r="BT163" i="1"/>
  <c r="BS163" i="1"/>
  <c r="BP163" i="1"/>
  <c r="BO163" i="1"/>
  <c r="BL163" i="1"/>
  <c r="BK163" i="1"/>
  <c r="BH163" i="1"/>
  <c r="BG163" i="1"/>
  <c r="BD163" i="1"/>
  <c r="BC163" i="1"/>
  <c r="AZ163" i="1"/>
  <c r="AY163" i="1"/>
  <c r="AV163" i="1"/>
  <c r="AU163" i="1"/>
  <c r="AR163" i="1"/>
  <c r="AQ163" i="1"/>
  <c r="AN163" i="1"/>
  <c r="AM163" i="1"/>
  <c r="AJ163" i="1"/>
  <c r="AI163" i="1"/>
  <c r="AF163" i="1"/>
  <c r="AE163" i="1"/>
  <c r="AB163" i="1"/>
  <c r="AA163" i="1"/>
  <c r="X163" i="1"/>
  <c r="W163" i="1"/>
  <c r="T163" i="1"/>
  <c r="S163" i="1"/>
  <c r="P163" i="1"/>
  <c r="O163" i="1"/>
  <c r="L163" i="1"/>
  <c r="K163" i="1"/>
  <c r="H163" i="1"/>
  <c r="G163" i="1"/>
  <c r="D163" i="1"/>
  <c r="C163" i="1"/>
  <c r="CJ162" i="1"/>
  <c r="CI162" i="1"/>
  <c r="CF162" i="1"/>
  <c r="CE162" i="1"/>
  <c r="CB162" i="1"/>
  <c r="CA162" i="1"/>
  <c r="BX162" i="1"/>
  <c r="BW162" i="1"/>
  <c r="BT162" i="1"/>
  <c r="BS162" i="1"/>
  <c r="BP162" i="1"/>
  <c r="BO162" i="1"/>
  <c r="BL162" i="1"/>
  <c r="BK162" i="1"/>
  <c r="BH162" i="1"/>
  <c r="BG162" i="1"/>
  <c r="BD162" i="1"/>
  <c r="BC162" i="1"/>
  <c r="AZ162" i="1"/>
  <c r="AY162" i="1"/>
  <c r="AV162" i="1"/>
  <c r="AU162" i="1"/>
  <c r="AR162" i="1"/>
  <c r="AQ162" i="1"/>
  <c r="AN162" i="1"/>
  <c r="AM162" i="1"/>
  <c r="AJ162" i="1"/>
  <c r="AI162" i="1"/>
  <c r="AF162" i="1"/>
  <c r="AE162" i="1"/>
  <c r="AB162" i="1"/>
  <c r="AA162" i="1"/>
  <c r="X162" i="1"/>
  <c r="W162" i="1"/>
  <c r="T162" i="1"/>
  <c r="S162" i="1"/>
  <c r="P162" i="1"/>
  <c r="O162" i="1"/>
  <c r="L162" i="1"/>
  <c r="K162" i="1"/>
  <c r="H162" i="1"/>
  <c r="G162" i="1"/>
  <c r="D162" i="1"/>
  <c r="C162" i="1"/>
  <c r="CJ161" i="1"/>
  <c r="CI161" i="1"/>
  <c r="CF161" i="1"/>
  <c r="CE161" i="1"/>
  <c r="CB161" i="1"/>
  <c r="CA161" i="1"/>
  <c r="BX161" i="1"/>
  <c r="BW161" i="1"/>
  <c r="BT161" i="1"/>
  <c r="BS161" i="1"/>
  <c r="BP161" i="1"/>
  <c r="BO161" i="1"/>
  <c r="BL161" i="1"/>
  <c r="BK161" i="1"/>
  <c r="BH161" i="1"/>
  <c r="BG161" i="1"/>
  <c r="BD161" i="1"/>
  <c r="BC161" i="1"/>
  <c r="AZ161" i="1"/>
  <c r="AY161" i="1"/>
  <c r="AV161" i="1"/>
  <c r="AU161" i="1"/>
  <c r="AR161" i="1"/>
  <c r="AQ161" i="1"/>
  <c r="AN161" i="1"/>
  <c r="AM161" i="1"/>
  <c r="AJ161" i="1"/>
  <c r="AI161" i="1"/>
  <c r="AF161" i="1"/>
  <c r="AE161" i="1"/>
  <c r="AB161" i="1"/>
  <c r="AA161" i="1"/>
  <c r="X161" i="1"/>
  <c r="W161" i="1"/>
  <c r="T161" i="1"/>
  <c r="S161" i="1"/>
  <c r="P161" i="1"/>
  <c r="O161" i="1"/>
  <c r="L161" i="1"/>
  <c r="K161" i="1"/>
  <c r="H161" i="1"/>
  <c r="G161" i="1"/>
  <c r="D161" i="1"/>
  <c r="C161" i="1"/>
  <c r="CJ154" i="1"/>
  <c r="CI154" i="1"/>
  <c r="CF154" i="1"/>
  <c r="CE154" i="1"/>
  <c r="CB154" i="1"/>
  <c r="CA154" i="1"/>
  <c r="BX154" i="1"/>
  <c r="BW154" i="1"/>
  <c r="BT154" i="1"/>
  <c r="BS154" i="1"/>
  <c r="BP154" i="1"/>
  <c r="BO154" i="1"/>
  <c r="BL154" i="1"/>
  <c r="BK154" i="1"/>
  <c r="BH154" i="1"/>
  <c r="BG154" i="1"/>
  <c r="BD154" i="1"/>
  <c r="BC154" i="1"/>
  <c r="AZ154" i="1"/>
  <c r="AY154" i="1"/>
  <c r="AV154" i="1"/>
  <c r="AU154" i="1"/>
  <c r="AR154" i="1"/>
  <c r="AQ154" i="1"/>
  <c r="AN154" i="1"/>
  <c r="AM154" i="1"/>
  <c r="AJ154" i="1"/>
  <c r="AI154" i="1"/>
  <c r="AF154" i="1"/>
  <c r="AE154" i="1"/>
  <c r="AB154" i="1"/>
  <c r="AA154" i="1"/>
  <c r="X154" i="1"/>
  <c r="W154" i="1"/>
  <c r="T154" i="1"/>
  <c r="S154" i="1"/>
  <c r="P154" i="1"/>
  <c r="O154" i="1"/>
  <c r="L154" i="1"/>
  <c r="K154" i="1"/>
  <c r="H154" i="1"/>
  <c r="G154" i="1"/>
  <c r="D154" i="1"/>
  <c r="C154" i="1"/>
  <c r="CJ153" i="1"/>
  <c r="CI153" i="1"/>
  <c r="CF153" i="1"/>
  <c r="CE153" i="1"/>
  <c r="CB153" i="1"/>
  <c r="CA153" i="1"/>
  <c r="BX153" i="1"/>
  <c r="BW153" i="1"/>
  <c r="BT153" i="1"/>
  <c r="BS153" i="1"/>
  <c r="BP153" i="1"/>
  <c r="BO153" i="1"/>
  <c r="BL153" i="1"/>
  <c r="BK153" i="1"/>
  <c r="BH153" i="1"/>
  <c r="BG153" i="1"/>
  <c r="BD153" i="1"/>
  <c r="BC153" i="1"/>
  <c r="AZ153" i="1"/>
  <c r="AY153" i="1"/>
  <c r="AV153" i="1"/>
  <c r="AU153" i="1"/>
  <c r="AR153" i="1"/>
  <c r="AQ153" i="1"/>
  <c r="AN153" i="1"/>
  <c r="AM153" i="1"/>
  <c r="AJ153" i="1"/>
  <c r="AI153" i="1"/>
  <c r="AF153" i="1"/>
  <c r="AE153" i="1"/>
  <c r="AB153" i="1"/>
  <c r="AA153" i="1"/>
  <c r="X153" i="1"/>
  <c r="W153" i="1"/>
  <c r="T153" i="1"/>
  <c r="S153" i="1"/>
  <c r="P153" i="1"/>
  <c r="O153" i="1"/>
  <c r="L153" i="1"/>
  <c r="K153" i="1"/>
  <c r="H153" i="1"/>
  <c r="G153" i="1"/>
  <c r="D153" i="1"/>
  <c r="C153" i="1"/>
  <c r="CJ152" i="1"/>
  <c r="CI152" i="1"/>
  <c r="CF152" i="1"/>
  <c r="CE152" i="1"/>
  <c r="CB152" i="1"/>
  <c r="CA152" i="1"/>
  <c r="BX152" i="1"/>
  <c r="BW152" i="1"/>
  <c r="BT152" i="1"/>
  <c r="BS152" i="1"/>
  <c r="BP152" i="1"/>
  <c r="BO152" i="1"/>
  <c r="BL152" i="1"/>
  <c r="BK152" i="1"/>
  <c r="BH152" i="1"/>
  <c r="BG152" i="1"/>
  <c r="BD152" i="1"/>
  <c r="BC152" i="1"/>
  <c r="AZ152" i="1"/>
  <c r="AY152" i="1"/>
  <c r="AV152" i="1"/>
  <c r="AU152" i="1"/>
  <c r="AR152" i="1"/>
  <c r="AQ152" i="1"/>
  <c r="AN152" i="1"/>
  <c r="AM152" i="1"/>
  <c r="AJ152" i="1"/>
  <c r="AI152" i="1"/>
  <c r="AF152" i="1"/>
  <c r="AE152" i="1"/>
  <c r="AB152" i="1"/>
  <c r="AA152" i="1"/>
  <c r="X152" i="1"/>
  <c r="W152" i="1"/>
  <c r="T152" i="1"/>
  <c r="S152" i="1"/>
  <c r="P152" i="1"/>
  <c r="O152" i="1"/>
  <c r="L152" i="1"/>
  <c r="K152" i="1"/>
  <c r="H152" i="1"/>
  <c r="G152" i="1"/>
  <c r="D152" i="1"/>
  <c r="C152" i="1"/>
  <c r="CJ151" i="1"/>
  <c r="CI151" i="1"/>
  <c r="CF151" i="1"/>
  <c r="CE151" i="1"/>
  <c r="CB151" i="1"/>
  <c r="CA151" i="1"/>
  <c r="BX151" i="1"/>
  <c r="BW151" i="1"/>
  <c r="BT151" i="1"/>
  <c r="BS151" i="1"/>
  <c r="BP151" i="1"/>
  <c r="BO151" i="1"/>
  <c r="BL151" i="1"/>
  <c r="BK151" i="1"/>
  <c r="BH151" i="1"/>
  <c r="BG151" i="1"/>
  <c r="BD151" i="1"/>
  <c r="BC151" i="1"/>
  <c r="AZ151" i="1"/>
  <c r="AY151" i="1"/>
  <c r="AV151" i="1"/>
  <c r="AU151" i="1"/>
  <c r="AR151" i="1"/>
  <c r="AQ151" i="1"/>
  <c r="AN151" i="1"/>
  <c r="AM151" i="1"/>
  <c r="AJ151" i="1"/>
  <c r="AI151" i="1"/>
  <c r="AF151" i="1"/>
  <c r="AE151" i="1"/>
  <c r="AB151" i="1"/>
  <c r="AA151" i="1"/>
  <c r="X151" i="1"/>
  <c r="W151" i="1"/>
  <c r="T151" i="1"/>
  <c r="S151" i="1"/>
  <c r="P151" i="1"/>
  <c r="O151" i="1"/>
  <c r="L151" i="1"/>
  <c r="K151" i="1"/>
  <c r="H151" i="1"/>
  <c r="G151" i="1"/>
  <c r="D151" i="1"/>
  <c r="C151" i="1"/>
  <c r="CJ150" i="1"/>
  <c r="CI150" i="1"/>
  <c r="CF150" i="1"/>
  <c r="CE150" i="1"/>
  <c r="CB150" i="1"/>
  <c r="CA150" i="1"/>
  <c r="BX150" i="1"/>
  <c r="BW150" i="1"/>
  <c r="BT150" i="1"/>
  <c r="BS150" i="1"/>
  <c r="BP150" i="1"/>
  <c r="BO150" i="1"/>
  <c r="BL150" i="1"/>
  <c r="BK150" i="1"/>
  <c r="BH150" i="1"/>
  <c r="BG150" i="1"/>
  <c r="BD150" i="1"/>
  <c r="BC150" i="1"/>
  <c r="AZ150" i="1"/>
  <c r="AY150" i="1"/>
  <c r="AV150" i="1"/>
  <c r="AU150" i="1"/>
  <c r="AR150" i="1"/>
  <c r="AQ150" i="1"/>
  <c r="AN150" i="1"/>
  <c r="AM150" i="1"/>
  <c r="AJ150" i="1"/>
  <c r="AI150" i="1"/>
  <c r="AF150" i="1"/>
  <c r="AE150" i="1"/>
  <c r="AB150" i="1"/>
  <c r="AA150" i="1"/>
  <c r="X150" i="1"/>
  <c r="W150" i="1"/>
  <c r="T150" i="1"/>
  <c r="S150" i="1"/>
  <c r="P150" i="1"/>
  <c r="O150" i="1"/>
  <c r="L150" i="1"/>
  <c r="K150" i="1"/>
  <c r="H150" i="1"/>
  <c r="G150" i="1"/>
  <c r="D150" i="1"/>
  <c r="C150" i="1"/>
  <c r="CJ149" i="1"/>
  <c r="CI149" i="1"/>
  <c r="CF149" i="1"/>
  <c r="CE149" i="1"/>
  <c r="CB149" i="1"/>
  <c r="CA149" i="1"/>
  <c r="BX149" i="1"/>
  <c r="BW149" i="1"/>
  <c r="BT149" i="1"/>
  <c r="BS149" i="1"/>
  <c r="BP149" i="1"/>
  <c r="BO149" i="1"/>
  <c r="BL149" i="1"/>
  <c r="BK149" i="1"/>
  <c r="BH149" i="1"/>
  <c r="BG149" i="1"/>
  <c r="BD149" i="1"/>
  <c r="BC149" i="1"/>
  <c r="AZ149" i="1"/>
  <c r="AY149" i="1"/>
  <c r="AV149" i="1"/>
  <c r="AU149" i="1"/>
  <c r="AR149" i="1"/>
  <c r="AQ149" i="1"/>
  <c r="AN149" i="1"/>
  <c r="AM149" i="1"/>
  <c r="AJ149" i="1"/>
  <c r="AI149" i="1"/>
  <c r="AF149" i="1"/>
  <c r="AE149" i="1"/>
  <c r="AB149" i="1"/>
  <c r="AA149" i="1"/>
  <c r="X149" i="1"/>
  <c r="W149" i="1"/>
  <c r="T149" i="1"/>
  <c r="S149" i="1"/>
  <c r="P149" i="1"/>
  <c r="O149" i="1"/>
  <c r="L149" i="1"/>
  <c r="K149" i="1"/>
  <c r="H149" i="1"/>
  <c r="G149" i="1"/>
  <c r="D149" i="1"/>
  <c r="C149" i="1"/>
  <c r="CJ142" i="1"/>
  <c r="CI142" i="1"/>
  <c r="CF142" i="1"/>
  <c r="CE142" i="1"/>
  <c r="CB142" i="1"/>
  <c r="CA142" i="1"/>
  <c r="BX142" i="1"/>
  <c r="BW142" i="1"/>
  <c r="BT142" i="1"/>
  <c r="BS142" i="1"/>
  <c r="BP142" i="1"/>
  <c r="BO142" i="1"/>
  <c r="BL142" i="1"/>
  <c r="BK142" i="1"/>
  <c r="BH142" i="1"/>
  <c r="BG142" i="1"/>
  <c r="BD142" i="1"/>
  <c r="BC142" i="1"/>
  <c r="AZ142" i="1"/>
  <c r="AY142" i="1"/>
  <c r="AV142" i="1"/>
  <c r="AU142" i="1"/>
  <c r="AR142" i="1"/>
  <c r="AQ142" i="1"/>
  <c r="AN142" i="1"/>
  <c r="AM142" i="1"/>
  <c r="AJ142" i="1"/>
  <c r="AI142" i="1"/>
  <c r="AF142" i="1"/>
  <c r="AE142" i="1"/>
  <c r="AB142" i="1"/>
  <c r="AA142" i="1"/>
  <c r="X142" i="1"/>
  <c r="W142" i="1"/>
  <c r="T142" i="1"/>
  <c r="S142" i="1"/>
  <c r="P142" i="1"/>
  <c r="O142" i="1"/>
  <c r="L142" i="1"/>
  <c r="K142" i="1"/>
  <c r="H142" i="1"/>
  <c r="G142" i="1"/>
  <c r="D142" i="1"/>
  <c r="C142" i="1"/>
  <c r="CJ141" i="1"/>
  <c r="CI141" i="1"/>
  <c r="CF141" i="1"/>
  <c r="CE141" i="1"/>
  <c r="CB141" i="1"/>
  <c r="CA141" i="1"/>
  <c r="BX141" i="1"/>
  <c r="BW141" i="1"/>
  <c r="BT141" i="1"/>
  <c r="BS141" i="1"/>
  <c r="BP141" i="1"/>
  <c r="BO141" i="1"/>
  <c r="BL141" i="1"/>
  <c r="BK141" i="1"/>
  <c r="BH141" i="1"/>
  <c r="BG141" i="1"/>
  <c r="BD141" i="1"/>
  <c r="BC141" i="1"/>
  <c r="AZ141" i="1"/>
  <c r="AY141" i="1"/>
  <c r="AV141" i="1"/>
  <c r="AU141" i="1"/>
  <c r="AR141" i="1"/>
  <c r="AQ141" i="1"/>
  <c r="AN141" i="1"/>
  <c r="AM141" i="1"/>
  <c r="AJ141" i="1"/>
  <c r="AI141" i="1"/>
  <c r="AF141" i="1"/>
  <c r="AE141" i="1"/>
  <c r="AB141" i="1"/>
  <c r="AA141" i="1"/>
  <c r="X141" i="1"/>
  <c r="W141" i="1"/>
  <c r="T141" i="1"/>
  <c r="S141" i="1"/>
  <c r="P141" i="1"/>
  <c r="O141" i="1"/>
  <c r="L141" i="1"/>
  <c r="K141" i="1"/>
  <c r="H141" i="1"/>
  <c r="G141" i="1"/>
  <c r="D141" i="1"/>
  <c r="C141" i="1"/>
  <c r="CJ140" i="1"/>
  <c r="CI140" i="1"/>
  <c r="CF140" i="1"/>
  <c r="CE140" i="1"/>
  <c r="CB140" i="1"/>
  <c r="CA140" i="1"/>
  <c r="BX140" i="1"/>
  <c r="BW140" i="1"/>
  <c r="BT140" i="1"/>
  <c r="BS140" i="1"/>
  <c r="BP140" i="1"/>
  <c r="BO140" i="1"/>
  <c r="BL140" i="1"/>
  <c r="BK140" i="1"/>
  <c r="BH140" i="1"/>
  <c r="BG140" i="1"/>
  <c r="BD140" i="1"/>
  <c r="BC140" i="1"/>
  <c r="AZ140" i="1"/>
  <c r="AY140" i="1"/>
  <c r="AV140" i="1"/>
  <c r="AU140" i="1"/>
  <c r="AR140" i="1"/>
  <c r="AQ140" i="1"/>
  <c r="AN140" i="1"/>
  <c r="AM140" i="1"/>
  <c r="AJ140" i="1"/>
  <c r="AI140" i="1"/>
  <c r="AF140" i="1"/>
  <c r="AE140" i="1"/>
  <c r="AB140" i="1"/>
  <c r="AA140" i="1"/>
  <c r="X140" i="1"/>
  <c r="W140" i="1"/>
  <c r="T140" i="1"/>
  <c r="S140" i="1"/>
  <c r="P140" i="1"/>
  <c r="O140" i="1"/>
  <c r="L140" i="1"/>
  <c r="K140" i="1"/>
  <c r="H140" i="1"/>
  <c r="G140" i="1"/>
  <c r="D140" i="1"/>
  <c r="C140" i="1"/>
  <c r="CJ139" i="1"/>
  <c r="CI139" i="1"/>
  <c r="CF139" i="1"/>
  <c r="CE139" i="1"/>
  <c r="CB139" i="1"/>
  <c r="CA139" i="1"/>
  <c r="BX139" i="1"/>
  <c r="BW139" i="1"/>
  <c r="BT139" i="1"/>
  <c r="BS139" i="1"/>
  <c r="BP139" i="1"/>
  <c r="BO139" i="1"/>
  <c r="BL139" i="1"/>
  <c r="BK139" i="1"/>
  <c r="BH139" i="1"/>
  <c r="BG139" i="1"/>
  <c r="BD139" i="1"/>
  <c r="BC139" i="1"/>
  <c r="AZ139" i="1"/>
  <c r="AY139" i="1"/>
  <c r="AV139" i="1"/>
  <c r="AU139" i="1"/>
  <c r="AR139" i="1"/>
  <c r="AQ139" i="1"/>
  <c r="AN139" i="1"/>
  <c r="AM139" i="1"/>
  <c r="AJ139" i="1"/>
  <c r="AI139" i="1"/>
  <c r="AF139" i="1"/>
  <c r="AE139" i="1"/>
  <c r="AB139" i="1"/>
  <c r="AA139" i="1"/>
  <c r="X139" i="1"/>
  <c r="W139" i="1"/>
  <c r="T139" i="1"/>
  <c r="S139" i="1"/>
  <c r="P139" i="1"/>
  <c r="O139" i="1"/>
  <c r="L139" i="1"/>
  <c r="K139" i="1"/>
  <c r="H139" i="1"/>
  <c r="G139" i="1"/>
  <c r="D139" i="1"/>
  <c r="C139" i="1"/>
  <c r="CJ138" i="1"/>
  <c r="CI138" i="1"/>
  <c r="CF138" i="1"/>
  <c r="CE138" i="1"/>
  <c r="CB138" i="1"/>
  <c r="CA138" i="1"/>
  <c r="BX138" i="1"/>
  <c r="BW138" i="1"/>
  <c r="BT138" i="1"/>
  <c r="BS138" i="1"/>
  <c r="BP138" i="1"/>
  <c r="BO138" i="1"/>
  <c r="BL138" i="1"/>
  <c r="BK138" i="1"/>
  <c r="BH138" i="1"/>
  <c r="BG138" i="1"/>
  <c r="BD138" i="1"/>
  <c r="BC138" i="1"/>
  <c r="AZ138" i="1"/>
  <c r="AY138" i="1"/>
  <c r="AV138" i="1"/>
  <c r="AU138" i="1"/>
  <c r="AR138" i="1"/>
  <c r="AQ138" i="1"/>
  <c r="AN138" i="1"/>
  <c r="AM138" i="1"/>
  <c r="AJ138" i="1"/>
  <c r="AI138" i="1"/>
  <c r="AF138" i="1"/>
  <c r="AE138" i="1"/>
  <c r="AB138" i="1"/>
  <c r="AA138" i="1"/>
  <c r="X138" i="1"/>
  <c r="W138" i="1"/>
  <c r="T138" i="1"/>
  <c r="S138" i="1"/>
  <c r="P138" i="1"/>
  <c r="O138" i="1"/>
  <c r="L138" i="1"/>
  <c r="K138" i="1"/>
  <c r="H138" i="1"/>
  <c r="G138" i="1"/>
  <c r="D138" i="1"/>
  <c r="C138" i="1"/>
  <c r="CJ137" i="1"/>
  <c r="CI137" i="1"/>
  <c r="CF137" i="1"/>
  <c r="CE137" i="1"/>
  <c r="CB137" i="1"/>
  <c r="CA137" i="1"/>
  <c r="BX137" i="1"/>
  <c r="BW137" i="1"/>
  <c r="BT137" i="1"/>
  <c r="BS137" i="1"/>
  <c r="BP137" i="1"/>
  <c r="BO137" i="1"/>
  <c r="BL137" i="1"/>
  <c r="BK137" i="1"/>
  <c r="BH137" i="1"/>
  <c r="BG137" i="1"/>
  <c r="BD137" i="1"/>
  <c r="BC137" i="1"/>
  <c r="AZ137" i="1"/>
  <c r="AY137" i="1"/>
  <c r="AV137" i="1"/>
  <c r="AU137" i="1"/>
  <c r="AR137" i="1"/>
  <c r="AQ137" i="1"/>
  <c r="AN137" i="1"/>
  <c r="AM137" i="1"/>
  <c r="AJ137" i="1"/>
  <c r="AI137" i="1"/>
  <c r="AF137" i="1"/>
  <c r="AE137" i="1"/>
  <c r="AB137" i="1"/>
  <c r="AA137" i="1"/>
  <c r="X137" i="1"/>
  <c r="W137" i="1"/>
  <c r="T137" i="1"/>
  <c r="S137" i="1"/>
  <c r="P137" i="1"/>
  <c r="O137" i="1"/>
  <c r="L137" i="1"/>
  <c r="K137" i="1"/>
  <c r="H137" i="1"/>
  <c r="G137" i="1"/>
  <c r="D137" i="1"/>
  <c r="C137" i="1"/>
  <c r="CJ130" i="1"/>
  <c r="CI130" i="1"/>
  <c r="CF130" i="1"/>
  <c r="CE130" i="1"/>
  <c r="CB130" i="1"/>
  <c r="CA130" i="1"/>
  <c r="BX130" i="1"/>
  <c r="BW130" i="1"/>
  <c r="BT130" i="1"/>
  <c r="BS130" i="1"/>
  <c r="BP130" i="1"/>
  <c r="BO130" i="1"/>
  <c r="BL130" i="1"/>
  <c r="BK130" i="1"/>
  <c r="BH130" i="1"/>
  <c r="BG130" i="1"/>
  <c r="BD130" i="1"/>
  <c r="BC130" i="1"/>
  <c r="AZ130" i="1"/>
  <c r="AY130" i="1"/>
  <c r="AV130" i="1"/>
  <c r="AU130" i="1"/>
  <c r="AR130" i="1"/>
  <c r="AQ130" i="1"/>
  <c r="AN130" i="1"/>
  <c r="AM130" i="1"/>
  <c r="AJ130" i="1"/>
  <c r="AI130" i="1"/>
  <c r="AF130" i="1"/>
  <c r="AE130" i="1"/>
  <c r="AB130" i="1"/>
  <c r="AA130" i="1"/>
  <c r="X130" i="1"/>
  <c r="W130" i="1"/>
  <c r="T130" i="1"/>
  <c r="S130" i="1"/>
  <c r="P130" i="1"/>
  <c r="O130" i="1"/>
  <c r="L130" i="1"/>
  <c r="H130" i="1"/>
  <c r="G130" i="1"/>
  <c r="D130" i="1"/>
  <c r="C130" i="1"/>
  <c r="CJ129" i="1"/>
  <c r="CI129" i="1"/>
  <c r="CF129" i="1"/>
  <c r="CE129" i="1"/>
  <c r="CB129" i="1"/>
  <c r="CA129" i="1"/>
  <c r="BX129" i="1"/>
  <c r="BW129" i="1"/>
  <c r="BT129" i="1"/>
  <c r="BS129" i="1"/>
  <c r="BP129" i="1"/>
  <c r="BO129" i="1"/>
  <c r="BL129" i="1"/>
  <c r="BK129" i="1"/>
  <c r="BH129" i="1"/>
  <c r="BG129" i="1"/>
  <c r="BD129" i="1"/>
  <c r="BC129" i="1"/>
  <c r="AZ129" i="1"/>
  <c r="AY129" i="1"/>
  <c r="AV129" i="1"/>
  <c r="AU129" i="1"/>
  <c r="AR129" i="1"/>
  <c r="AQ129" i="1"/>
  <c r="AN129" i="1"/>
  <c r="AM129" i="1"/>
  <c r="AJ129" i="1"/>
  <c r="AI129" i="1"/>
  <c r="AF129" i="1"/>
  <c r="AE129" i="1"/>
  <c r="AB129" i="1"/>
  <c r="AA129" i="1"/>
  <c r="X129" i="1"/>
  <c r="W129" i="1"/>
  <c r="T129" i="1"/>
  <c r="S129" i="1"/>
  <c r="P129" i="1"/>
  <c r="O129" i="1"/>
  <c r="L129" i="1"/>
  <c r="H129" i="1"/>
  <c r="G129" i="1"/>
  <c r="D129" i="1"/>
  <c r="C129" i="1"/>
  <c r="CJ128" i="1"/>
  <c r="CI128" i="1"/>
  <c r="CF128" i="1"/>
  <c r="CE128" i="1"/>
  <c r="CB128" i="1"/>
  <c r="CA128" i="1"/>
  <c r="BX128" i="1"/>
  <c r="BW128" i="1"/>
  <c r="BT128" i="1"/>
  <c r="BS128" i="1"/>
  <c r="BP128" i="1"/>
  <c r="BO128" i="1"/>
  <c r="BL128" i="1"/>
  <c r="BK128" i="1"/>
  <c r="BH128" i="1"/>
  <c r="BG128" i="1"/>
  <c r="BD128" i="1"/>
  <c r="BC128" i="1"/>
  <c r="AZ128" i="1"/>
  <c r="AY128" i="1"/>
  <c r="AV128" i="1"/>
  <c r="AU128" i="1"/>
  <c r="AR128" i="1"/>
  <c r="AQ128" i="1"/>
  <c r="AN128" i="1"/>
  <c r="AM128" i="1"/>
  <c r="AJ128" i="1"/>
  <c r="AI128" i="1"/>
  <c r="AF128" i="1"/>
  <c r="AE128" i="1"/>
  <c r="AB128" i="1"/>
  <c r="AA128" i="1"/>
  <c r="X128" i="1"/>
  <c r="W128" i="1"/>
  <c r="T128" i="1"/>
  <c r="S128" i="1"/>
  <c r="P128" i="1"/>
  <c r="O128" i="1"/>
  <c r="L128" i="1"/>
  <c r="H128" i="1"/>
  <c r="G128" i="1"/>
  <c r="D128" i="1"/>
  <c r="C128" i="1"/>
  <c r="CJ127" i="1"/>
  <c r="CI127" i="1"/>
  <c r="CF127" i="1"/>
  <c r="CE127" i="1"/>
  <c r="CB127" i="1"/>
  <c r="CA127" i="1"/>
  <c r="BX127" i="1"/>
  <c r="BW127" i="1"/>
  <c r="BT127" i="1"/>
  <c r="BS127" i="1"/>
  <c r="BP127" i="1"/>
  <c r="BO127" i="1"/>
  <c r="BL127" i="1"/>
  <c r="BK127" i="1"/>
  <c r="BH127" i="1"/>
  <c r="BG127" i="1"/>
  <c r="BD127" i="1"/>
  <c r="BC127" i="1"/>
  <c r="AZ127" i="1"/>
  <c r="AY127" i="1"/>
  <c r="AV127" i="1"/>
  <c r="AU127" i="1"/>
  <c r="AR127" i="1"/>
  <c r="AQ127" i="1"/>
  <c r="AN127" i="1"/>
  <c r="AM127" i="1"/>
  <c r="AJ127" i="1"/>
  <c r="AI127" i="1"/>
  <c r="AF127" i="1"/>
  <c r="AE127" i="1"/>
  <c r="AB127" i="1"/>
  <c r="AA127" i="1"/>
  <c r="X127" i="1"/>
  <c r="W127" i="1"/>
  <c r="T127" i="1"/>
  <c r="S127" i="1"/>
  <c r="P127" i="1"/>
  <c r="O127" i="1"/>
  <c r="L127" i="1"/>
  <c r="H127" i="1"/>
  <c r="G127" i="1"/>
  <c r="D127" i="1"/>
  <c r="C127" i="1"/>
  <c r="CJ120" i="1"/>
  <c r="CI120" i="1"/>
  <c r="CF120" i="1"/>
  <c r="CE120" i="1"/>
  <c r="CB120" i="1"/>
  <c r="CA120" i="1"/>
  <c r="BX120" i="1"/>
  <c r="BW120" i="1"/>
  <c r="BT120" i="1"/>
  <c r="BS120" i="1"/>
  <c r="BP120" i="1"/>
  <c r="BO120" i="1"/>
  <c r="BL120" i="1"/>
  <c r="BK120" i="1"/>
  <c r="BH120" i="1"/>
  <c r="BG120" i="1"/>
  <c r="BD120" i="1"/>
  <c r="BC120" i="1"/>
  <c r="AZ120" i="1"/>
  <c r="AY120" i="1"/>
  <c r="AV120" i="1"/>
  <c r="AU120" i="1"/>
  <c r="AR120" i="1"/>
  <c r="AQ120" i="1"/>
  <c r="AN120" i="1"/>
  <c r="AM120" i="1"/>
  <c r="AJ120" i="1"/>
  <c r="AI120" i="1"/>
  <c r="AF120" i="1"/>
  <c r="AE120" i="1"/>
  <c r="AB120" i="1"/>
  <c r="AA120" i="1"/>
  <c r="X120" i="1"/>
  <c r="W120" i="1"/>
  <c r="T120" i="1"/>
  <c r="S120" i="1"/>
  <c r="P120" i="1"/>
  <c r="L120" i="1"/>
  <c r="K120" i="1"/>
  <c r="H120" i="1"/>
  <c r="G120" i="1"/>
  <c r="D120" i="1"/>
  <c r="C120" i="1"/>
  <c r="CJ119" i="1"/>
  <c r="CI119" i="1"/>
  <c r="CF119" i="1"/>
  <c r="CE119" i="1"/>
  <c r="CB119" i="1"/>
  <c r="CA119" i="1"/>
  <c r="BX119" i="1"/>
  <c r="BW119" i="1"/>
  <c r="BT119" i="1"/>
  <c r="BS119" i="1"/>
  <c r="BP119" i="1"/>
  <c r="BO119" i="1"/>
  <c r="BL119" i="1"/>
  <c r="BK119" i="1"/>
  <c r="BH119" i="1"/>
  <c r="BG119" i="1"/>
  <c r="BD119" i="1"/>
  <c r="BC119" i="1"/>
  <c r="AZ119" i="1"/>
  <c r="AY119" i="1"/>
  <c r="AV119" i="1"/>
  <c r="AU119" i="1"/>
  <c r="AR119" i="1"/>
  <c r="AQ119" i="1"/>
  <c r="AN119" i="1"/>
  <c r="AM119" i="1"/>
  <c r="AJ119" i="1"/>
  <c r="AI119" i="1"/>
  <c r="AF119" i="1"/>
  <c r="AE119" i="1"/>
  <c r="AB119" i="1"/>
  <c r="AA119" i="1"/>
  <c r="X119" i="1"/>
  <c r="W119" i="1"/>
  <c r="T119" i="1"/>
  <c r="S119" i="1"/>
  <c r="P119" i="1"/>
  <c r="L119" i="1"/>
  <c r="K119" i="1"/>
  <c r="H119" i="1"/>
  <c r="G119" i="1"/>
  <c r="D119" i="1"/>
  <c r="C119" i="1"/>
  <c r="CJ118" i="1"/>
  <c r="CI118" i="1"/>
  <c r="CF118" i="1"/>
  <c r="CE118" i="1"/>
  <c r="CB118" i="1"/>
  <c r="CA118" i="1"/>
  <c r="BX118" i="1"/>
  <c r="BW118" i="1"/>
  <c r="BT118" i="1"/>
  <c r="BS118" i="1"/>
  <c r="BP118" i="1"/>
  <c r="BO118" i="1"/>
  <c r="BL118" i="1"/>
  <c r="BK118" i="1"/>
  <c r="BH118" i="1"/>
  <c r="BG118" i="1"/>
  <c r="BD118" i="1"/>
  <c r="BC118" i="1"/>
  <c r="AZ118" i="1"/>
  <c r="AY118" i="1"/>
  <c r="AV118" i="1"/>
  <c r="AU118" i="1"/>
  <c r="AR118" i="1"/>
  <c r="AQ118" i="1"/>
  <c r="AN118" i="1"/>
  <c r="AM118" i="1"/>
  <c r="AJ118" i="1"/>
  <c r="AI118" i="1"/>
  <c r="AF118" i="1"/>
  <c r="AE118" i="1"/>
  <c r="AB118" i="1"/>
  <c r="AA118" i="1"/>
  <c r="X118" i="1"/>
  <c r="W118" i="1"/>
  <c r="T118" i="1"/>
  <c r="S118" i="1"/>
  <c r="P118" i="1"/>
  <c r="L118" i="1"/>
  <c r="K118" i="1"/>
  <c r="H118" i="1"/>
  <c r="G118" i="1"/>
  <c r="D118" i="1"/>
  <c r="C118" i="1"/>
  <c r="CJ117" i="1"/>
  <c r="CI117" i="1"/>
  <c r="CF117" i="1"/>
  <c r="CE117" i="1"/>
  <c r="CB117" i="1"/>
  <c r="CA117" i="1"/>
  <c r="BX117" i="1"/>
  <c r="BW117" i="1"/>
  <c r="BT117" i="1"/>
  <c r="BS117" i="1"/>
  <c r="BP117" i="1"/>
  <c r="BO117" i="1"/>
  <c r="BL117" i="1"/>
  <c r="BK117" i="1"/>
  <c r="BH117" i="1"/>
  <c r="BG117" i="1"/>
  <c r="BD117" i="1"/>
  <c r="BC117" i="1"/>
  <c r="AZ117" i="1"/>
  <c r="AY117" i="1"/>
  <c r="AV117" i="1"/>
  <c r="AU117" i="1"/>
  <c r="AR117" i="1"/>
  <c r="AQ117" i="1"/>
  <c r="AN117" i="1"/>
  <c r="AM117" i="1"/>
  <c r="AJ117" i="1"/>
  <c r="AI117" i="1"/>
  <c r="AF117" i="1"/>
  <c r="AE117" i="1"/>
  <c r="AB117" i="1"/>
  <c r="AA117" i="1"/>
  <c r="X117" i="1"/>
  <c r="W117" i="1"/>
  <c r="T117" i="1"/>
  <c r="S117" i="1"/>
  <c r="P117" i="1"/>
  <c r="L117" i="1"/>
  <c r="K117" i="1"/>
  <c r="H117" i="1"/>
  <c r="G117" i="1"/>
  <c r="D117" i="1"/>
  <c r="C117" i="1"/>
  <c r="CJ116" i="1"/>
  <c r="CI116" i="1"/>
  <c r="CF116" i="1"/>
  <c r="CE116" i="1"/>
  <c r="CB116" i="1"/>
  <c r="CA116" i="1"/>
  <c r="BX116" i="1"/>
  <c r="BW116" i="1"/>
  <c r="BT116" i="1"/>
  <c r="BS116" i="1"/>
  <c r="BP116" i="1"/>
  <c r="BO116" i="1"/>
  <c r="BL116" i="1"/>
  <c r="BK116" i="1"/>
  <c r="BH116" i="1"/>
  <c r="BG116" i="1"/>
  <c r="BD116" i="1"/>
  <c r="BC116" i="1"/>
  <c r="AZ116" i="1"/>
  <c r="AY116" i="1"/>
  <c r="AV116" i="1"/>
  <c r="AU116" i="1"/>
  <c r="AR116" i="1"/>
  <c r="AQ116" i="1"/>
  <c r="AN116" i="1"/>
  <c r="AM116" i="1"/>
  <c r="AJ116" i="1"/>
  <c r="AI116" i="1"/>
  <c r="AF116" i="1"/>
  <c r="AE116" i="1"/>
  <c r="AB116" i="1"/>
  <c r="AA116" i="1"/>
  <c r="X116" i="1"/>
  <c r="W116" i="1"/>
  <c r="T116" i="1"/>
  <c r="S116" i="1"/>
  <c r="P116" i="1"/>
  <c r="L116" i="1"/>
  <c r="K116" i="1"/>
  <c r="H116" i="1"/>
  <c r="G116" i="1"/>
  <c r="D116" i="1"/>
  <c r="C116" i="1"/>
  <c r="CJ115" i="1"/>
  <c r="CI115" i="1"/>
  <c r="CF115" i="1"/>
  <c r="CE115" i="1"/>
  <c r="CB115" i="1"/>
  <c r="CA115" i="1"/>
  <c r="BX115" i="1"/>
  <c r="BW115" i="1"/>
  <c r="BT115" i="1"/>
  <c r="BS115" i="1"/>
  <c r="BP115" i="1"/>
  <c r="BO115" i="1"/>
  <c r="BL115" i="1"/>
  <c r="BK115" i="1"/>
  <c r="BH115" i="1"/>
  <c r="BG115" i="1"/>
  <c r="BD115" i="1"/>
  <c r="BC115" i="1"/>
  <c r="AZ115" i="1"/>
  <c r="AY115" i="1"/>
  <c r="AV115" i="1"/>
  <c r="AU115" i="1"/>
  <c r="AR115" i="1"/>
  <c r="AQ115" i="1"/>
  <c r="AN115" i="1"/>
  <c r="AM115" i="1"/>
  <c r="AJ115" i="1"/>
  <c r="AI115" i="1"/>
  <c r="AF115" i="1"/>
  <c r="AE115" i="1"/>
  <c r="AB115" i="1"/>
  <c r="AA115" i="1"/>
  <c r="X115" i="1"/>
  <c r="W115" i="1"/>
  <c r="T115" i="1"/>
  <c r="S115" i="1"/>
  <c r="P115" i="1"/>
  <c r="L115" i="1"/>
  <c r="K115" i="1"/>
  <c r="H115" i="1"/>
  <c r="G115" i="1"/>
  <c r="D115" i="1"/>
  <c r="C115" i="1"/>
  <c r="CJ108" i="1"/>
  <c r="CI108" i="1"/>
  <c r="CF108" i="1"/>
  <c r="CE108" i="1"/>
  <c r="CB108" i="1"/>
  <c r="CA108" i="1"/>
  <c r="BX108" i="1"/>
  <c r="BW108" i="1"/>
  <c r="BT108" i="1"/>
  <c r="BS108" i="1"/>
  <c r="BP108" i="1"/>
  <c r="BO108" i="1"/>
  <c r="BL108" i="1"/>
  <c r="BK108" i="1"/>
  <c r="BH108" i="1"/>
  <c r="BG108" i="1"/>
  <c r="BD108" i="1"/>
  <c r="BC108" i="1"/>
  <c r="AZ108" i="1"/>
  <c r="AY108" i="1"/>
  <c r="AV108" i="1"/>
  <c r="AU108" i="1"/>
  <c r="AR108" i="1"/>
  <c r="AQ108" i="1"/>
  <c r="AN108" i="1"/>
  <c r="AM108" i="1"/>
  <c r="AJ108" i="1"/>
  <c r="AI108" i="1"/>
  <c r="AF108" i="1"/>
  <c r="AE108" i="1"/>
  <c r="AB108" i="1"/>
  <c r="AA108" i="1"/>
  <c r="X108" i="1"/>
  <c r="W108" i="1"/>
  <c r="T108" i="1"/>
  <c r="S108" i="1"/>
  <c r="P108" i="1"/>
  <c r="L108" i="1"/>
  <c r="K108" i="1"/>
  <c r="H108" i="1"/>
  <c r="G108" i="1"/>
  <c r="D108" i="1"/>
  <c r="C108" i="1"/>
  <c r="CJ107" i="1"/>
  <c r="CI107" i="1"/>
  <c r="CF107" i="1"/>
  <c r="CE107" i="1"/>
  <c r="CB107" i="1"/>
  <c r="CA107" i="1"/>
  <c r="BX107" i="1"/>
  <c r="BW107" i="1"/>
  <c r="BT107" i="1"/>
  <c r="BS107" i="1"/>
  <c r="BP107" i="1"/>
  <c r="BO107" i="1"/>
  <c r="BL107" i="1"/>
  <c r="BK107" i="1"/>
  <c r="BH107" i="1"/>
  <c r="BG107" i="1"/>
  <c r="BD107" i="1"/>
  <c r="BC107" i="1"/>
  <c r="AZ107" i="1"/>
  <c r="AY107" i="1"/>
  <c r="AV107" i="1"/>
  <c r="AU107" i="1"/>
  <c r="AR107" i="1"/>
  <c r="AQ107" i="1"/>
  <c r="AN107" i="1"/>
  <c r="AM107" i="1"/>
  <c r="AJ107" i="1"/>
  <c r="AI107" i="1"/>
  <c r="AF107" i="1"/>
  <c r="AE107" i="1"/>
  <c r="AB107" i="1"/>
  <c r="AA107" i="1"/>
  <c r="X107" i="1"/>
  <c r="W107" i="1"/>
  <c r="T107" i="1"/>
  <c r="S107" i="1"/>
  <c r="P107" i="1"/>
  <c r="L107" i="1"/>
  <c r="K107" i="1"/>
  <c r="H107" i="1"/>
  <c r="G107" i="1"/>
  <c r="D107" i="1"/>
  <c r="C107" i="1"/>
  <c r="CJ106" i="1"/>
  <c r="CI106" i="1"/>
  <c r="CF106" i="1"/>
  <c r="CE106" i="1"/>
  <c r="CB106" i="1"/>
  <c r="CA106" i="1"/>
  <c r="BX106" i="1"/>
  <c r="BW106" i="1"/>
  <c r="BT106" i="1"/>
  <c r="BS106" i="1"/>
  <c r="BP106" i="1"/>
  <c r="BO106" i="1"/>
  <c r="BL106" i="1"/>
  <c r="BK106" i="1"/>
  <c r="BH106" i="1"/>
  <c r="BG106" i="1"/>
  <c r="BD106" i="1"/>
  <c r="BC106" i="1"/>
  <c r="AZ106" i="1"/>
  <c r="AY106" i="1"/>
  <c r="AV106" i="1"/>
  <c r="AU106" i="1"/>
  <c r="AR106" i="1"/>
  <c r="AQ106" i="1"/>
  <c r="AN106" i="1"/>
  <c r="AM106" i="1"/>
  <c r="AJ106" i="1"/>
  <c r="AI106" i="1"/>
  <c r="AF106" i="1"/>
  <c r="AE106" i="1"/>
  <c r="AB106" i="1"/>
  <c r="AA106" i="1"/>
  <c r="X106" i="1"/>
  <c r="W106" i="1"/>
  <c r="T106" i="1"/>
  <c r="S106" i="1"/>
  <c r="P106" i="1"/>
  <c r="L106" i="1"/>
  <c r="K106" i="1"/>
  <c r="H106" i="1"/>
  <c r="G106" i="1"/>
  <c r="D106" i="1"/>
  <c r="C106" i="1"/>
  <c r="CJ105" i="1"/>
  <c r="CI105" i="1"/>
  <c r="CF105" i="1"/>
  <c r="CE105" i="1"/>
  <c r="CB105" i="1"/>
  <c r="CA105" i="1"/>
  <c r="BX105" i="1"/>
  <c r="BW105" i="1"/>
  <c r="BT105" i="1"/>
  <c r="BS105" i="1"/>
  <c r="BP105" i="1"/>
  <c r="BO105" i="1"/>
  <c r="BL105" i="1"/>
  <c r="BK105" i="1"/>
  <c r="BH105" i="1"/>
  <c r="BG105" i="1"/>
  <c r="BD105" i="1"/>
  <c r="BC105" i="1"/>
  <c r="AZ105" i="1"/>
  <c r="AY105" i="1"/>
  <c r="AV105" i="1"/>
  <c r="AU105" i="1"/>
  <c r="AR105" i="1"/>
  <c r="AQ105" i="1"/>
  <c r="AN105" i="1"/>
  <c r="AM105" i="1"/>
  <c r="AJ105" i="1"/>
  <c r="AI105" i="1"/>
  <c r="AF105" i="1"/>
  <c r="AE105" i="1"/>
  <c r="AB105" i="1"/>
  <c r="AA105" i="1"/>
  <c r="X105" i="1"/>
  <c r="W105" i="1"/>
  <c r="T105" i="1"/>
  <c r="S105" i="1"/>
  <c r="P105" i="1"/>
  <c r="L105" i="1"/>
  <c r="K105" i="1"/>
  <c r="H105" i="1"/>
  <c r="G105" i="1"/>
  <c r="D105" i="1"/>
  <c r="C105" i="1"/>
  <c r="CJ104" i="1"/>
  <c r="CI104" i="1"/>
  <c r="CF104" i="1"/>
  <c r="CE104" i="1"/>
  <c r="CB104" i="1"/>
  <c r="CA104" i="1"/>
  <c r="BX104" i="1"/>
  <c r="BW104" i="1"/>
  <c r="BT104" i="1"/>
  <c r="BS104" i="1"/>
  <c r="BP104" i="1"/>
  <c r="BO104" i="1"/>
  <c r="BL104" i="1"/>
  <c r="BK104" i="1"/>
  <c r="BH104" i="1"/>
  <c r="BG104" i="1"/>
  <c r="BD104" i="1"/>
  <c r="BC104" i="1"/>
  <c r="AZ104" i="1"/>
  <c r="AY104" i="1"/>
  <c r="AV104" i="1"/>
  <c r="AU104" i="1"/>
  <c r="AR104" i="1"/>
  <c r="AQ104" i="1"/>
  <c r="AN104" i="1"/>
  <c r="AM104" i="1"/>
  <c r="AJ104" i="1"/>
  <c r="AI104" i="1"/>
  <c r="AF104" i="1"/>
  <c r="AE104" i="1"/>
  <c r="AB104" i="1"/>
  <c r="AA104" i="1"/>
  <c r="X104" i="1"/>
  <c r="W104" i="1"/>
  <c r="T104" i="1"/>
  <c r="S104" i="1"/>
  <c r="P104" i="1"/>
  <c r="L104" i="1"/>
  <c r="K104" i="1"/>
  <c r="H104" i="1"/>
  <c r="G104" i="1"/>
  <c r="D104" i="1"/>
  <c r="C104" i="1"/>
  <c r="CJ103" i="1"/>
  <c r="CI103" i="1"/>
  <c r="CF103" i="1"/>
  <c r="CE103" i="1"/>
  <c r="CB103" i="1"/>
  <c r="CA103" i="1"/>
  <c r="BX103" i="1"/>
  <c r="BW103" i="1"/>
  <c r="BT103" i="1"/>
  <c r="BS103" i="1"/>
  <c r="BP103" i="1"/>
  <c r="BO103" i="1"/>
  <c r="BL103" i="1"/>
  <c r="BK103" i="1"/>
  <c r="BH103" i="1"/>
  <c r="BG103" i="1"/>
  <c r="BD103" i="1"/>
  <c r="BC103" i="1"/>
  <c r="AZ103" i="1"/>
  <c r="AY103" i="1"/>
  <c r="AV103" i="1"/>
  <c r="AU103" i="1"/>
  <c r="AR103" i="1"/>
  <c r="AQ103" i="1"/>
  <c r="AN103" i="1"/>
  <c r="AM103" i="1"/>
  <c r="AJ103" i="1"/>
  <c r="AI103" i="1"/>
  <c r="AF103" i="1"/>
  <c r="AE103" i="1"/>
  <c r="AB103" i="1"/>
  <c r="AA103" i="1"/>
  <c r="X103" i="1"/>
  <c r="W103" i="1"/>
  <c r="T103" i="1"/>
  <c r="S103" i="1"/>
  <c r="P103" i="1"/>
  <c r="L103" i="1"/>
  <c r="K103" i="1"/>
  <c r="H103" i="1"/>
  <c r="G103" i="1"/>
  <c r="D103" i="1"/>
  <c r="C103" i="1"/>
  <c r="CJ102" i="1"/>
  <c r="CI102" i="1"/>
  <c r="CF102" i="1"/>
  <c r="CE102" i="1"/>
  <c r="CB102" i="1"/>
  <c r="CA102" i="1"/>
  <c r="BX102" i="1"/>
  <c r="BW102" i="1"/>
  <c r="BT102" i="1"/>
  <c r="BS102" i="1"/>
  <c r="BP102" i="1"/>
  <c r="BO102" i="1"/>
  <c r="BL102" i="1"/>
  <c r="BK102" i="1"/>
  <c r="BH102" i="1"/>
  <c r="BG102" i="1"/>
  <c r="BD102" i="1"/>
  <c r="BC102" i="1"/>
  <c r="AZ102" i="1"/>
  <c r="AY102" i="1"/>
  <c r="AV102" i="1"/>
  <c r="AU102" i="1"/>
  <c r="AR102" i="1"/>
  <c r="AQ102" i="1"/>
  <c r="AN102" i="1"/>
  <c r="AM102" i="1"/>
  <c r="AJ102" i="1"/>
  <c r="AI102" i="1"/>
  <c r="AF102" i="1"/>
  <c r="AE102" i="1"/>
  <c r="AB102" i="1"/>
  <c r="AA102" i="1"/>
  <c r="X102" i="1"/>
  <c r="W102" i="1"/>
  <c r="T102" i="1"/>
  <c r="S102" i="1"/>
  <c r="P102" i="1"/>
  <c r="L102" i="1"/>
  <c r="K102" i="1"/>
  <c r="H102" i="1"/>
  <c r="G102" i="1"/>
  <c r="D102" i="1"/>
  <c r="C102" i="1"/>
  <c r="CJ101" i="1"/>
  <c r="CI101" i="1"/>
  <c r="CF101" i="1"/>
  <c r="CE101" i="1"/>
  <c r="CB101" i="1"/>
  <c r="CA101" i="1"/>
  <c r="BX101" i="1"/>
  <c r="BW101" i="1"/>
  <c r="BT101" i="1"/>
  <c r="BS101" i="1"/>
  <c r="BP101" i="1"/>
  <c r="BO101" i="1"/>
  <c r="BL101" i="1"/>
  <c r="BK101" i="1"/>
  <c r="BH101" i="1"/>
  <c r="BG101" i="1"/>
  <c r="BD101" i="1"/>
  <c r="BC101" i="1"/>
  <c r="AZ101" i="1"/>
  <c r="AY101" i="1"/>
  <c r="AV101" i="1"/>
  <c r="AU101" i="1"/>
  <c r="AR101" i="1"/>
  <c r="AQ101" i="1"/>
  <c r="AN101" i="1"/>
  <c r="AM101" i="1"/>
  <c r="AJ101" i="1"/>
  <c r="AI101" i="1"/>
  <c r="AF101" i="1"/>
  <c r="AE101" i="1"/>
  <c r="AB101" i="1"/>
  <c r="AA101" i="1"/>
  <c r="X101" i="1"/>
  <c r="W101" i="1"/>
  <c r="T101" i="1"/>
  <c r="S101" i="1"/>
  <c r="P101" i="1"/>
  <c r="L101" i="1"/>
  <c r="K101" i="1"/>
  <c r="H101" i="1"/>
  <c r="G101" i="1"/>
  <c r="D101" i="1"/>
  <c r="C101" i="1"/>
  <c r="CJ100" i="1"/>
  <c r="CI100" i="1"/>
  <c r="CF100" i="1"/>
  <c r="CE100" i="1"/>
  <c r="CB100" i="1"/>
  <c r="CA100" i="1"/>
  <c r="BX100" i="1"/>
  <c r="BW100" i="1"/>
  <c r="BT100" i="1"/>
  <c r="BS100" i="1"/>
  <c r="BP100" i="1"/>
  <c r="BO100" i="1"/>
  <c r="BL100" i="1"/>
  <c r="BK100" i="1"/>
  <c r="BH100" i="1"/>
  <c r="BG100" i="1"/>
  <c r="BD100" i="1"/>
  <c r="BC100" i="1"/>
  <c r="AZ100" i="1"/>
  <c r="AY100" i="1"/>
  <c r="AV100" i="1"/>
  <c r="AU100" i="1"/>
  <c r="AR100" i="1"/>
  <c r="AQ100" i="1"/>
  <c r="AN100" i="1"/>
  <c r="AM100" i="1"/>
  <c r="AJ100" i="1"/>
  <c r="AI100" i="1"/>
  <c r="AF100" i="1"/>
  <c r="AE100" i="1"/>
  <c r="AB100" i="1"/>
  <c r="AA100" i="1"/>
  <c r="X100" i="1"/>
  <c r="W100" i="1"/>
  <c r="T100" i="1"/>
  <c r="S100" i="1"/>
  <c r="P100" i="1"/>
  <c r="L100" i="1"/>
  <c r="K100" i="1"/>
  <c r="H100" i="1"/>
  <c r="G100" i="1"/>
  <c r="D100" i="1"/>
  <c r="C100" i="1"/>
  <c r="CJ99" i="1"/>
  <c r="CI99" i="1"/>
  <c r="CF99" i="1"/>
  <c r="CE99" i="1"/>
  <c r="CB99" i="1"/>
  <c r="CA99" i="1"/>
  <c r="BX99" i="1"/>
  <c r="BW99" i="1"/>
  <c r="BT99" i="1"/>
  <c r="BS99" i="1"/>
  <c r="BP99" i="1"/>
  <c r="BO99" i="1"/>
  <c r="BL99" i="1"/>
  <c r="BK99" i="1"/>
  <c r="BH99" i="1"/>
  <c r="BG99" i="1"/>
  <c r="BD99" i="1"/>
  <c r="BC99" i="1"/>
  <c r="AZ99" i="1"/>
  <c r="AY99" i="1"/>
  <c r="AV99" i="1"/>
  <c r="AU99" i="1"/>
  <c r="AR99" i="1"/>
  <c r="AQ99" i="1"/>
  <c r="AN99" i="1"/>
  <c r="AM99" i="1"/>
  <c r="AJ99" i="1"/>
  <c r="AI99" i="1"/>
  <c r="AF99" i="1"/>
  <c r="AE99" i="1"/>
  <c r="AB99" i="1"/>
  <c r="AA99" i="1"/>
  <c r="X99" i="1"/>
  <c r="W99" i="1"/>
  <c r="T99" i="1"/>
  <c r="S99" i="1"/>
  <c r="P99" i="1"/>
  <c r="L99" i="1"/>
  <c r="K99" i="1"/>
  <c r="H99" i="1"/>
  <c r="G99" i="1"/>
  <c r="D99" i="1"/>
  <c r="C99" i="1"/>
  <c r="CJ92" i="1"/>
  <c r="CI92" i="1"/>
  <c r="CF92" i="1"/>
  <c r="CE92" i="1"/>
  <c r="CB92" i="1"/>
  <c r="CA92" i="1"/>
  <c r="BX92" i="1"/>
  <c r="BW92" i="1"/>
  <c r="BT92" i="1"/>
  <c r="BS92" i="1"/>
  <c r="BP92" i="1"/>
  <c r="BO92" i="1"/>
  <c r="BL92" i="1"/>
  <c r="BK92" i="1"/>
  <c r="BH92" i="1"/>
  <c r="BG92" i="1"/>
  <c r="BD92" i="1"/>
  <c r="BC92" i="1"/>
  <c r="AZ92" i="1"/>
  <c r="AY92" i="1"/>
  <c r="AV92" i="1"/>
  <c r="AU92" i="1"/>
  <c r="AR92" i="1"/>
  <c r="AQ92" i="1"/>
  <c r="AN92" i="1"/>
  <c r="AM92" i="1"/>
  <c r="AJ92" i="1"/>
  <c r="AI92" i="1"/>
  <c r="AF92" i="1"/>
  <c r="AE92" i="1"/>
  <c r="AB92" i="1"/>
  <c r="AA92" i="1"/>
  <c r="X92" i="1"/>
  <c r="W92" i="1"/>
  <c r="T92" i="1"/>
  <c r="S92" i="1"/>
  <c r="P92" i="1"/>
  <c r="L92" i="1"/>
  <c r="K92" i="1"/>
  <c r="H92" i="1"/>
  <c r="G92" i="1"/>
  <c r="D92" i="1"/>
  <c r="C92" i="1"/>
  <c r="CJ91" i="1"/>
  <c r="CI91" i="1"/>
  <c r="CF91" i="1"/>
  <c r="CE91" i="1"/>
  <c r="CB91" i="1"/>
  <c r="CA91" i="1"/>
  <c r="BX91" i="1"/>
  <c r="BW91" i="1"/>
  <c r="BT91" i="1"/>
  <c r="BS91" i="1"/>
  <c r="BP91" i="1"/>
  <c r="BO91" i="1"/>
  <c r="BL91" i="1"/>
  <c r="BK91" i="1"/>
  <c r="BH91" i="1"/>
  <c r="BG91" i="1"/>
  <c r="BD91" i="1"/>
  <c r="BC91" i="1"/>
  <c r="AZ91" i="1"/>
  <c r="AY91" i="1"/>
  <c r="AV91" i="1"/>
  <c r="AU91" i="1"/>
  <c r="AR91" i="1"/>
  <c r="AQ91" i="1"/>
  <c r="AN91" i="1"/>
  <c r="AM91" i="1"/>
  <c r="AJ91" i="1"/>
  <c r="AI91" i="1"/>
  <c r="AF91" i="1"/>
  <c r="AE91" i="1"/>
  <c r="AB91" i="1"/>
  <c r="AA91" i="1"/>
  <c r="X91" i="1"/>
  <c r="W91" i="1"/>
  <c r="T91" i="1"/>
  <c r="S91" i="1"/>
  <c r="P91" i="1"/>
  <c r="L91" i="1"/>
  <c r="K91" i="1"/>
  <c r="H91" i="1"/>
  <c r="G91" i="1"/>
  <c r="D91" i="1"/>
  <c r="C91" i="1"/>
  <c r="CJ90" i="1"/>
  <c r="CI90" i="1"/>
  <c r="CF90" i="1"/>
  <c r="CE90" i="1"/>
  <c r="CB90" i="1"/>
  <c r="CA90" i="1"/>
  <c r="BX90" i="1"/>
  <c r="BW90" i="1"/>
  <c r="BT90" i="1"/>
  <c r="BS90" i="1"/>
  <c r="BP90" i="1"/>
  <c r="BO90" i="1"/>
  <c r="BL90" i="1"/>
  <c r="BK90" i="1"/>
  <c r="BH90" i="1"/>
  <c r="BG90" i="1"/>
  <c r="BD90" i="1"/>
  <c r="BC90" i="1"/>
  <c r="AZ90" i="1"/>
  <c r="AY90" i="1"/>
  <c r="AV90" i="1"/>
  <c r="AU90" i="1"/>
  <c r="AR90" i="1"/>
  <c r="AQ90" i="1"/>
  <c r="AN90" i="1"/>
  <c r="AM90" i="1"/>
  <c r="AJ90" i="1"/>
  <c r="AI90" i="1"/>
  <c r="AF90" i="1"/>
  <c r="AE90" i="1"/>
  <c r="AB90" i="1"/>
  <c r="AA90" i="1"/>
  <c r="X90" i="1"/>
  <c r="W90" i="1"/>
  <c r="T90" i="1"/>
  <c r="S90" i="1"/>
  <c r="P90" i="1"/>
  <c r="L90" i="1"/>
  <c r="K90" i="1"/>
  <c r="H90" i="1"/>
  <c r="G90" i="1"/>
  <c r="D90" i="1"/>
  <c r="C90" i="1"/>
  <c r="CJ83" i="1"/>
  <c r="CI83" i="1"/>
  <c r="CF83" i="1"/>
  <c r="CE83" i="1"/>
  <c r="CB83" i="1"/>
  <c r="CA83" i="1"/>
  <c r="BX83" i="1"/>
  <c r="BW83" i="1"/>
  <c r="BT83" i="1"/>
  <c r="BS83" i="1"/>
  <c r="BP83" i="1"/>
  <c r="BO83" i="1"/>
  <c r="BL83" i="1"/>
  <c r="BK83" i="1"/>
  <c r="BH83" i="1"/>
  <c r="BG83" i="1"/>
  <c r="BD83" i="1"/>
  <c r="BC83" i="1"/>
  <c r="AZ83" i="1"/>
  <c r="AY83" i="1"/>
  <c r="AV83" i="1"/>
  <c r="AU83" i="1"/>
  <c r="AR83" i="1"/>
  <c r="AQ83" i="1"/>
  <c r="AN83" i="1"/>
  <c r="AM83" i="1"/>
  <c r="AJ83" i="1"/>
  <c r="AI83" i="1"/>
  <c r="AF83" i="1"/>
  <c r="AE83" i="1"/>
  <c r="AB83" i="1"/>
  <c r="AA83" i="1"/>
  <c r="X83" i="1"/>
  <c r="W83" i="1"/>
  <c r="T83" i="1"/>
  <c r="S83" i="1"/>
  <c r="P83" i="1"/>
  <c r="O83" i="1"/>
  <c r="L83" i="1"/>
  <c r="K83" i="1"/>
  <c r="H83" i="1"/>
  <c r="G83" i="1"/>
  <c r="D83" i="1"/>
  <c r="C83" i="1"/>
  <c r="CJ82" i="1"/>
  <c r="CI82" i="1"/>
  <c r="CF82" i="1"/>
  <c r="CE82" i="1"/>
  <c r="CB82" i="1"/>
  <c r="CA82" i="1"/>
  <c r="BX82" i="1"/>
  <c r="BW82" i="1"/>
  <c r="BT82" i="1"/>
  <c r="BS82" i="1"/>
  <c r="BP82" i="1"/>
  <c r="BO82" i="1"/>
  <c r="BL82" i="1"/>
  <c r="BK82" i="1"/>
  <c r="BH82" i="1"/>
  <c r="BG82" i="1"/>
  <c r="BD82" i="1"/>
  <c r="BC82" i="1"/>
  <c r="AZ82" i="1"/>
  <c r="AY82" i="1"/>
  <c r="AV82" i="1"/>
  <c r="AU82" i="1"/>
  <c r="AR82" i="1"/>
  <c r="AQ82" i="1"/>
  <c r="AN82" i="1"/>
  <c r="AM82" i="1"/>
  <c r="AJ82" i="1"/>
  <c r="AI82" i="1"/>
  <c r="AF82" i="1"/>
  <c r="AE82" i="1"/>
  <c r="AB82" i="1"/>
  <c r="AA82" i="1"/>
  <c r="X82" i="1"/>
  <c r="W82" i="1"/>
  <c r="T82" i="1"/>
  <c r="S82" i="1"/>
  <c r="P82" i="1"/>
  <c r="O82" i="1"/>
  <c r="L82" i="1"/>
  <c r="K82" i="1"/>
  <c r="H82" i="1"/>
  <c r="G82" i="1"/>
  <c r="D82" i="1"/>
  <c r="C82" i="1"/>
  <c r="CJ75" i="1"/>
  <c r="CI75" i="1"/>
  <c r="CF75" i="1"/>
  <c r="CE75" i="1"/>
  <c r="CB75" i="1"/>
  <c r="CA75" i="1"/>
  <c r="BX75" i="1"/>
  <c r="BW75" i="1"/>
  <c r="BT75" i="1"/>
  <c r="BS75" i="1"/>
  <c r="BP75" i="1"/>
  <c r="BO75" i="1"/>
  <c r="BL75" i="1"/>
  <c r="BK75" i="1"/>
  <c r="BH75" i="1"/>
  <c r="BG75" i="1"/>
  <c r="BD75" i="1"/>
  <c r="BC75" i="1"/>
  <c r="AZ75" i="1"/>
  <c r="AY75" i="1"/>
  <c r="AV75" i="1"/>
  <c r="AU75" i="1"/>
  <c r="AR75" i="1"/>
  <c r="AQ75" i="1"/>
  <c r="AN75" i="1"/>
  <c r="AM75" i="1"/>
  <c r="AJ75" i="1"/>
  <c r="AI75" i="1"/>
  <c r="AF75" i="1"/>
  <c r="AE75" i="1"/>
  <c r="AB75" i="1"/>
  <c r="AA75" i="1"/>
  <c r="X75" i="1"/>
  <c r="W75" i="1"/>
  <c r="T75" i="1"/>
  <c r="S75" i="1"/>
  <c r="P75" i="1"/>
  <c r="O75" i="1"/>
  <c r="L75" i="1"/>
  <c r="K75" i="1"/>
  <c r="H75" i="1"/>
  <c r="G75" i="1"/>
  <c r="D75" i="1"/>
  <c r="C75" i="1"/>
  <c r="CJ73" i="1"/>
  <c r="CI73" i="1"/>
  <c r="CF73" i="1"/>
  <c r="CE73" i="1"/>
  <c r="CB73" i="1"/>
  <c r="CA73" i="1"/>
  <c r="BX73" i="1"/>
  <c r="BW73" i="1"/>
  <c r="BT73" i="1"/>
  <c r="BS73" i="1"/>
  <c r="BP73" i="1"/>
  <c r="BO73" i="1"/>
  <c r="BL73" i="1"/>
  <c r="BK73" i="1"/>
  <c r="BH73" i="1"/>
  <c r="BG73" i="1"/>
  <c r="BD73" i="1"/>
  <c r="BC73" i="1"/>
  <c r="AZ73" i="1"/>
  <c r="AY73" i="1"/>
  <c r="AV73" i="1"/>
  <c r="AU73" i="1"/>
  <c r="AR73" i="1"/>
  <c r="AQ73" i="1"/>
  <c r="AN73" i="1"/>
  <c r="AM73" i="1"/>
  <c r="AJ73" i="1"/>
  <c r="AI73" i="1"/>
  <c r="AF73" i="1"/>
  <c r="AE73" i="1"/>
  <c r="AB73" i="1"/>
  <c r="AA73" i="1"/>
  <c r="X73" i="1"/>
  <c r="W73" i="1"/>
  <c r="T73" i="1"/>
  <c r="S73" i="1"/>
  <c r="P73" i="1"/>
  <c r="O73" i="1"/>
  <c r="L73" i="1"/>
  <c r="K73" i="1"/>
  <c r="H73" i="1"/>
  <c r="G73" i="1"/>
  <c r="D73" i="1"/>
  <c r="C73" i="1"/>
  <c r="CJ72" i="1"/>
  <c r="CI72" i="1"/>
  <c r="CF72" i="1"/>
  <c r="CE72" i="1"/>
  <c r="CB72" i="1"/>
  <c r="CA72" i="1"/>
  <c r="BX72" i="1"/>
  <c r="BW72" i="1"/>
  <c r="BT72" i="1"/>
  <c r="BS72" i="1"/>
  <c r="BP72" i="1"/>
  <c r="BO72" i="1"/>
  <c r="BL72" i="1"/>
  <c r="BK72" i="1"/>
  <c r="BH72" i="1"/>
  <c r="BG72" i="1"/>
  <c r="BD72" i="1"/>
  <c r="BC72" i="1"/>
  <c r="AZ72" i="1"/>
  <c r="AY72" i="1"/>
  <c r="AV72" i="1"/>
  <c r="AU72" i="1"/>
  <c r="AR72" i="1"/>
  <c r="AQ72" i="1"/>
  <c r="AN72" i="1"/>
  <c r="AM72" i="1"/>
  <c r="AJ72" i="1"/>
  <c r="AI72" i="1"/>
  <c r="AF72" i="1"/>
  <c r="AE72" i="1"/>
  <c r="AB72" i="1"/>
  <c r="AA72" i="1"/>
  <c r="X72" i="1"/>
  <c r="W72" i="1"/>
  <c r="T72" i="1"/>
  <c r="S72" i="1"/>
  <c r="P72" i="1"/>
  <c r="O72" i="1"/>
  <c r="L72" i="1"/>
  <c r="K72" i="1"/>
  <c r="H72" i="1"/>
  <c r="G72" i="1"/>
  <c r="D72" i="1"/>
  <c r="C72" i="1"/>
  <c r="CJ71" i="1"/>
  <c r="CI71" i="1"/>
  <c r="CF71" i="1"/>
  <c r="CE71" i="1"/>
  <c r="CB71" i="1"/>
  <c r="CA71" i="1"/>
  <c r="BX71" i="1"/>
  <c r="BW71" i="1"/>
  <c r="BT71" i="1"/>
  <c r="BS71" i="1"/>
  <c r="BP71" i="1"/>
  <c r="BO71" i="1"/>
  <c r="BL71" i="1"/>
  <c r="BK71" i="1"/>
  <c r="BH71" i="1"/>
  <c r="BG71" i="1"/>
  <c r="BD71" i="1"/>
  <c r="BC71" i="1"/>
  <c r="AZ71" i="1"/>
  <c r="AY71" i="1"/>
  <c r="AV71" i="1"/>
  <c r="AU71" i="1"/>
  <c r="AR71" i="1"/>
  <c r="AQ71" i="1"/>
  <c r="AN71" i="1"/>
  <c r="AM71" i="1"/>
  <c r="AJ71" i="1"/>
  <c r="AI71" i="1"/>
  <c r="AF71" i="1"/>
  <c r="AE71" i="1"/>
  <c r="AB71" i="1"/>
  <c r="AA71" i="1"/>
  <c r="X71" i="1"/>
  <c r="W71" i="1"/>
  <c r="T71" i="1"/>
  <c r="S71" i="1"/>
  <c r="P71" i="1"/>
  <c r="O71" i="1"/>
  <c r="L71" i="1"/>
  <c r="K71" i="1"/>
  <c r="H71" i="1"/>
  <c r="G71" i="1"/>
  <c r="D71" i="1"/>
  <c r="C71" i="1"/>
  <c r="CJ70" i="1"/>
  <c r="CI70" i="1"/>
  <c r="CF70" i="1"/>
  <c r="CE70" i="1"/>
  <c r="CB70" i="1"/>
  <c r="CA70" i="1"/>
  <c r="BX70" i="1"/>
  <c r="BW70" i="1"/>
  <c r="BT70" i="1"/>
  <c r="BS70" i="1"/>
  <c r="BP70" i="1"/>
  <c r="BO70" i="1"/>
  <c r="BL70" i="1"/>
  <c r="BK70" i="1"/>
  <c r="BH70" i="1"/>
  <c r="BG70" i="1"/>
  <c r="BD70" i="1"/>
  <c r="BC70" i="1"/>
  <c r="AZ70" i="1"/>
  <c r="AY70" i="1"/>
  <c r="AV70" i="1"/>
  <c r="AU70" i="1"/>
  <c r="AR70" i="1"/>
  <c r="AQ70" i="1"/>
  <c r="AN70" i="1"/>
  <c r="AM70" i="1"/>
  <c r="AJ70" i="1"/>
  <c r="AI70" i="1"/>
  <c r="AF70" i="1"/>
  <c r="AE70" i="1"/>
  <c r="AB70" i="1"/>
  <c r="AA70" i="1"/>
  <c r="X70" i="1"/>
  <c r="W70" i="1"/>
  <c r="T70" i="1"/>
  <c r="S70" i="1"/>
  <c r="P70" i="1"/>
  <c r="O70" i="1"/>
  <c r="L70" i="1"/>
  <c r="K70" i="1"/>
  <c r="H70" i="1"/>
  <c r="G70" i="1"/>
  <c r="D70" i="1"/>
  <c r="C70" i="1"/>
  <c r="CJ69" i="1"/>
  <c r="CI69" i="1"/>
  <c r="CF69" i="1"/>
  <c r="CE69" i="1"/>
  <c r="CB69" i="1"/>
  <c r="CA69" i="1"/>
  <c r="BX69" i="1"/>
  <c r="BW69" i="1"/>
  <c r="BT69" i="1"/>
  <c r="BS69" i="1"/>
  <c r="BP69" i="1"/>
  <c r="BO69" i="1"/>
  <c r="BL69" i="1"/>
  <c r="BK69" i="1"/>
  <c r="BH69" i="1"/>
  <c r="BG69" i="1"/>
  <c r="BD69" i="1"/>
  <c r="BC69" i="1"/>
  <c r="AZ69" i="1"/>
  <c r="AY69" i="1"/>
  <c r="AV69" i="1"/>
  <c r="AU69" i="1"/>
  <c r="AR69" i="1"/>
  <c r="AQ69" i="1"/>
  <c r="AN69" i="1"/>
  <c r="AM69" i="1"/>
  <c r="AJ69" i="1"/>
  <c r="AI69" i="1"/>
  <c r="AF69" i="1"/>
  <c r="AE69" i="1"/>
  <c r="AB69" i="1"/>
  <c r="AA69" i="1"/>
  <c r="X69" i="1"/>
  <c r="W69" i="1"/>
  <c r="T69" i="1"/>
  <c r="S69" i="1"/>
  <c r="P69" i="1"/>
  <c r="O69" i="1"/>
  <c r="L69" i="1"/>
  <c r="K69" i="1"/>
  <c r="H69" i="1"/>
  <c r="G69" i="1"/>
  <c r="D69" i="1"/>
  <c r="C69" i="1"/>
  <c r="CJ67" i="1"/>
  <c r="CI67" i="1"/>
  <c r="CF67" i="1"/>
  <c r="CE67" i="1"/>
  <c r="CB67" i="1"/>
  <c r="CA67" i="1"/>
  <c r="BX67" i="1"/>
  <c r="BW67" i="1"/>
  <c r="BT67" i="1"/>
  <c r="BS67" i="1"/>
  <c r="BP67" i="1"/>
  <c r="BO67" i="1"/>
  <c r="BL67" i="1"/>
  <c r="BK67" i="1"/>
  <c r="BH67" i="1"/>
  <c r="BG67" i="1"/>
  <c r="BD67" i="1"/>
  <c r="BC67" i="1"/>
  <c r="AZ67" i="1"/>
  <c r="AY67" i="1"/>
  <c r="AV67" i="1"/>
  <c r="AU67" i="1"/>
  <c r="AR67" i="1"/>
  <c r="AQ67" i="1"/>
  <c r="AN67" i="1"/>
  <c r="AM67" i="1"/>
  <c r="AJ67" i="1"/>
  <c r="AI67" i="1"/>
  <c r="AF67" i="1"/>
  <c r="AE67" i="1"/>
  <c r="AB67" i="1"/>
  <c r="AA67" i="1"/>
  <c r="X67" i="1"/>
  <c r="W67" i="1"/>
  <c r="T67" i="1"/>
  <c r="S67" i="1"/>
  <c r="P67" i="1"/>
  <c r="O67" i="1"/>
  <c r="L67" i="1"/>
  <c r="K67" i="1"/>
  <c r="H67" i="1"/>
  <c r="G67" i="1"/>
  <c r="D67" i="1"/>
  <c r="C67" i="1"/>
  <c r="CJ66" i="1"/>
  <c r="CI66" i="1"/>
  <c r="CF66" i="1"/>
  <c r="CE66" i="1"/>
  <c r="CB66" i="1"/>
  <c r="CA66" i="1"/>
  <c r="BX66" i="1"/>
  <c r="BW66" i="1"/>
  <c r="BT66" i="1"/>
  <c r="BS66" i="1"/>
  <c r="BP66" i="1"/>
  <c r="BO66" i="1"/>
  <c r="BL66" i="1"/>
  <c r="BK66" i="1"/>
  <c r="BH66" i="1"/>
  <c r="BG66" i="1"/>
  <c r="BD66" i="1"/>
  <c r="BC66" i="1"/>
  <c r="AZ66" i="1"/>
  <c r="AY66" i="1"/>
  <c r="AV66" i="1"/>
  <c r="AU66" i="1"/>
  <c r="AR66" i="1"/>
  <c r="AQ66" i="1"/>
  <c r="AN66" i="1"/>
  <c r="AM66" i="1"/>
  <c r="AJ66" i="1"/>
  <c r="AI66" i="1"/>
  <c r="AF66" i="1"/>
  <c r="AE66" i="1"/>
  <c r="AB66" i="1"/>
  <c r="AA66" i="1"/>
  <c r="X66" i="1"/>
  <c r="W66" i="1"/>
  <c r="T66" i="1"/>
  <c r="S66" i="1"/>
  <c r="P66" i="1"/>
  <c r="O66" i="1"/>
  <c r="L66" i="1"/>
  <c r="K66" i="1"/>
  <c r="H66" i="1"/>
  <c r="G66" i="1"/>
  <c r="D66" i="1"/>
  <c r="C66" i="1"/>
  <c r="CJ65" i="1"/>
  <c r="CI65" i="1"/>
  <c r="CF65" i="1"/>
  <c r="CE65" i="1"/>
  <c r="CB65" i="1"/>
  <c r="CA65" i="1"/>
  <c r="BX65" i="1"/>
  <c r="BW65" i="1"/>
  <c r="BT65" i="1"/>
  <c r="BS65" i="1"/>
  <c r="BP65" i="1"/>
  <c r="BO65" i="1"/>
  <c r="BL65" i="1"/>
  <c r="BK65" i="1"/>
  <c r="BH65" i="1"/>
  <c r="BG65" i="1"/>
  <c r="BD65" i="1"/>
  <c r="BC65" i="1"/>
  <c r="AZ65" i="1"/>
  <c r="AY65" i="1"/>
  <c r="AV65" i="1"/>
  <c r="AU65" i="1"/>
  <c r="AR65" i="1"/>
  <c r="AQ65" i="1"/>
  <c r="AN65" i="1"/>
  <c r="AM65" i="1"/>
  <c r="AJ65" i="1"/>
  <c r="AI65" i="1"/>
  <c r="AF65" i="1"/>
  <c r="AE65" i="1"/>
  <c r="AB65" i="1"/>
  <c r="AA65" i="1"/>
  <c r="X65" i="1"/>
  <c r="W65" i="1"/>
  <c r="T65" i="1"/>
  <c r="S65" i="1"/>
  <c r="P65" i="1"/>
  <c r="O65" i="1"/>
  <c r="L65" i="1"/>
  <c r="K65" i="1"/>
  <c r="H65" i="1"/>
  <c r="G65" i="1"/>
  <c r="D65" i="1"/>
  <c r="C65" i="1"/>
  <c r="CJ64" i="1"/>
  <c r="CI64" i="1"/>
  <c r="CF64" i="1"/>
  <c r="CE64" i="1"/>
  <c r="CB64" i="1"/>
  <c r="CA64" i="1"/>
  <c r="BX64" i="1"/>
  <c r="BW64" i="1"/>
  <c r="BT64" i="1"/>
  <c r="BS64" i="1"/>
  <c r="BP64" i="1"/>
  <c r="BO64" i="1"/>
  <c r="BL64" i="1"/>
  <c r="BK64" i="1"/>
  <c r="BH64" i="1"/>
  <c r="BG64" i="1"/>
  <c r="BD64" i="1"/>
  <c r="BC64" i="1"/>
  <c r="AZ64" i="1"/>
  <c r="AY64" i="1"/>
  <c r="AV64" i="1"/>
  <c r="AU64" i="1"/>
  <c r="AR64" i="1"/>
  <c r="AQ64" i="1"/>
  <c r="AN64" i="1"/>
  <c r="AM64" i="1"/>
  <c r="AJ64" i="1"/>
  <c r="AI64" i="1"/>
  <c r="AF64" i="1"/>
  <c r="AE64" i="1"/>
  <c r="AB64" i="1"/>
  <c r="AA64" i="1"/>
  <c r="X64" i="1"/>
  <c r="W64" i="1"/>
  <c r="T64" i="1"/>
  <c r="S64" i="1"/>
  <c r="P64" i="1"/>
  <c r="O64" i="1"/>
  <c r="L64" i="1"/>
  <c r="K64" i="1"/>
  <c r="H64" i="1"/>
  <c r="G64" i="1"/>
  <c r="D64" i="1"/>
  <c r="C64" i="1"/>
  <c r="CJ63" i="1"/>
  <c r="CI63" i="1"/>
  <c r="CF63" i="1"/>
  <c r="CE63" i="1"/>
  <c r="CB63" i="1"/>
  <c r="CA63" i="1"/>
  <c r="BX63" i="1"/>
  <c r="BW63" i="1"/>
  <c r="BT63" i="1"/>
  <c r="BS63" i="1"/>
  <c r="BP63" i="1"/>
  <c r="BO63" i="1"/>
  <c r="BL63" i="1"/>
  <c r="BK63" i="1"/>
  <c r="BH63" i="1"/>
  <c r="BG63" i="1"/>
  <c r="BD63" i="1"/>
  <c r="BC63" i="1"/>
  <c r="AZ63" i="1"/>
  <c r="AY63" i="1"/>
  <c r="AV63" i="1"/>
  <c r="AU63" i="1"/>
  <c r="AR63" i="1"/>
  <c r="AQ63" i="1"/>
  <c r="AN63" i="1"/>
  <c r="AM63" i="1"/>
  <c r="AJ63" i="1"/>
  <c r="AI63" i="1"/>
  <c r="AF63" i="1"/>
  <c r="AE63" i="1"/>
  <c r="AB63" i="1"/>
  <c r="AA63" i="1"/>
  <c r="X63" i="1"/>
  <c r="W63" i="1"/>
  <c r="T63" i="1"/>
  <c r="S63" i="1"/>
  <c r="P63" i="1"/>
  <c r="O63" i="1"/>
  <c r="L63" i="1"/>
  <c r="K63" i="1"/>
  <c r="H63" i="1"/>
  <c r="G63" i="1"/>
  <c r="D63" i="1"/>
  <c r="C63" i="1"/>
  <c r="CJ61" i="1"/>
  <c r="CI61" i="1"/>
  <c r="CF61" i="1"/>
  <c r="CE61" i="1"/>
  <c r="CB61" i="1"/>
  <c r="CA61" i="1"/>
  <c r="BX61" i="1"/>
  <c r="BW61" i="1"/>
  <c r="BT61" i="1"/>
  <c r="BS61" i="1"/>
  <c r="BP61" i="1"/>
  <c r="BO61" i="1"/>
  <c r="BL61" i="1"/>
  <c r="BK61" i="1"/>
  <c r="BH61" i="1"/>
  <c r="BG61" i="1"/>
  <c r="BD61" i="1"/>
  <c r="BC61" i="1"/>
  <c r="AZ61" i="1"/>
  <c r="AY61" i="1"/>
  <c r="AV61" i="1"/>
  <c r="AU61" i="1"/>
  <c r="AR61" i="1"/>
  <c r="AQ61" i="1"/>
  <c r="AN61" i="1"/>
  <c r="AM61" i="1"/>
  <c r="AJ61" i="1"/>
  <c r="AI61" i="1"/>
  <c r="AF61" i="1"/>
  <c r="AE61" i="1"/>
  <c r="AB61" i="1"/>
  <c r="AA61" i="1"/>
  <c r="X61" i="1"/>
  <c r="W61" i="1"/>
  <c r="T61" i="1"/>
  <c r="S61" i="1"/>
  <c r="P61" i="1"/>
  <c r="O61" i="1"/>
  <c r="L61" i="1"/>
  <c r="K61" i="1"/>
  <c r="H61" i="1"/>
  <c r="G61" i="1"/>
  <c r="D61" i="1"/>
  <c r="C61" i="1"/>
  <c r="CJ60" i="1"/>
  <c r="CI60" i="1"/>
  <c r="CF60" i="1"/>
  <c r="CE60" i="1"/>
  <c r="CB60" i="1"/>
  <c r="CA60" i="1"/>
  <c r="BX60" i="1"/>
  <c r="BW60" i="1"/>
  <c r="BT60" i="1"/>
  <c r="BS60" i="1"/>
  <c r="BP60" i="1"/>
  <c r="BO60" i="1"/>
  <c r="BL60" i="1"/>
  <c r="BK60" i="1"/>
  <c r="BH60" i="1"/>
  <c r="BG60" i="1"/>
  <c r="BD60" i="1"/>
  <c r="BC60" i="1"/>
  <c r="AZ60" i="1"/>
  <c r="AY60" i="1"/>
  <c r="AV60" i="1"/>
  <c r="AU60" i="1"/>
  <c r="AR60" i="1"/>
  <c r="AQ60" i="1"/>
  <c r="AN60" i="1"/>
  <c r="AM60" i="1"/>
  <c r="AJ60" i="1"/>
  <c r="AI60" i="1"/>
  <c r="AF60" i="1"/>
  <c r="AE60" i="1"/>
  <c r="AB60" i="1"/>
  <c r="AA60" i="1"/>
  <c r="X60" i="1"/>
  <c r="W60" i="1"/>
  <c r="T60" i="1"/>
  <c r="S60" i="1"/>
  <c r="P60" i="1"/>
  <c r="O60" i="1"/>
  <c r="L60" i="1"/>
  <c r="K60" i="1"/>
  <c r="H60" i="1"/>
  <c r="G60" i="1"/>
  <c r="D60" i="1"/>
  <c r="C60" i="1"/>
  <c r="CJ59" i="1"/>
  <c r="CI59" i="1"/>
  <c r="CF59" i="1"/>
  <c r="CE59" i="1"/>
  <c r="CB59" i="1"/>
  <c r="CA59" i="1"/>
  <c r="BX59" i="1"/>
  <c r="BW59" i="1"/>
  <c r="BT59" i="1"/>
  <c r="BS59" i="1"/>
  <c r="BP59" i="1"/>
  <c r="BO59" i="1"/>
  <c r="BL59" i="1"/>
  <c r="BK59" i="1"/>
  <c r="BH59" i="1"/>
  <c r="BG59" i="1"/>
  <c r="BD59" i="1"/>
  <c r="BC59" i="1"/>
  <c r="AZ59" i="1"/>
  <c r="AY59" i="1"/>
  <c r="AV59" i="1"/>
  <c r="AU59" i="1"/>
  <c r="AR59" i="1"/>
  <c r="AQ59" i="1"/>
  <c r="AN59" i="1"/>
  <c r="AM59" i="1"/>
  <c r="AJ59" i="1"/>
  <c r="AI59" i="1"/>
  <c r="AF59" i="1"/>
  <c r="AE59" i="1"/>
  <c r="AB59" i="1"/>
  <c r="AA59" i="1"/>
  <c r="X59" i="1"/>
  <c r="W59" i="1"/>
  <c r="T59" i="1"/>
  <c r="S59" i="1"/>
  <c r="P59" i="1"/>
  <c r="O59" i="1"/>
  <c r="L59" i="1"/>
  <c r="K59" i="1"/>
  <c r="H59" i="1"/>
  <c r="G59" i="1"/>
  <c r="D59" i="1"/>
  <c r="C59" i="1"/>
  <c r="CJ58" i="1"/>
  <c r="CI58" i="1"/>
  <c r="CF58" i="1"/>
  <c r="CE58" i="1"/>
  <c r="CB58" i="1"/>
  <c r="CA58" i="1"/>
  <c r="BX58" i="1"/>
  <c r="BW58" i="1"/>
  <c r="BT58" i="1"/>
  <c r="BS58" i="1"/>
  <c r="BP58" i="1"/>
  <c r="BO58" i="1"/>
  <c r="BL58" i="1"/>
  <c r="BK58" i="1"/>
  <c r="BH58" i="1"/>
  <c r="BG58" i="1"/>
  <c r="BD58" i="1"/>
  <c r="BC58" i="1"/>
  <c r="AZ58" i="1"/>
  <c r="AY58" i="1"/>
  <c r="AV58" i="1"/>
  <c r="AU58" i="1"/>
  <c r="AR58" i="1"/>
  <c r="AQ58" i="1"/>
  <c r="AN58" i="1"/>
  <c r="AM58" i="1"/>
  <c r="AJ58" i="1"/>
  <c r="AI58" i="1"/>
  <c r="AF58" i="1"/>
  <c r="AE58" i="1"/>
  <c r="AB58" i="1"/>
  <c r="AA58" i="1"/>
  <c r="X58" i="1"/>
  <c r="W58" i="1"/>
  <c r="T58" i="1"/>
  <c r="S58" i="1"/>
  <c r="P58" i="1"/>
  <c r="O58" i="1"/>
  <c r="L58" i="1"/>
  <c r="K58" i="1"/>
  <c r="H58" i="1"/>
  <c r="G58" i="1"/>
  <c r="D58" i="1"/>
  <c r="C58" i="1"/>
  <c r="CJ57" i="1"/>
  <c r="CI57" i="1"/>
  <c r="CF57" i="1"/>
  <c r="CE57" i="1"/>
  <c r="CB57" i="1"/>
  <c r="CA57" i="1"/>
  <c r="BX57" i="1"/>
  <c r="BW57" i="1"/>
  <c r="BT57" i="1"/>
  <c r="BS57" i="1"/>
  <c r="BP57" i="1"/>
  <c r="BO57" i="1"/>
  <c r="BL57" i="1"/>
  <c r="BK57" i="1"/>
  <c r="BH57" i="1"/>
  <c r="BG57" i="1"/>
  <c r="BD57" i="1"/>
  <c r="BC57" i="1"/>
  <c r="AZ57" i="1"/>
  <c r="AY57" i="1"/>
  <c r="AV57" i="1"/>
  <c r="AU57" i="1"/>
  <c r="AR57" i="1"/>
  <c r="AQ57" i="1"/>
  <c r="AN57" i="1"/>
  <c r="AM57" i="1"/>
  <c r="AJ57" i="1"/>
  <c r="AI57" i="1"/>
  <c r="AF57" i="1"/>
  <c r="AE57" i="1"/>
  <c r="AB57" i="1"/>
  <c r="AA57" i="1"/>
  <c r="X57" i="1"/>
  <c r="W57" i="1"/>
  <c r="T57" i="1"/>
  <c r="S57" i="1"/>
  <c r="P57" i="1"/>
  <c r="O57" i="1"/>
  <c r="L57" i="1"/>
  <c r="K57" i="1"/>
  <c r="H57" i="1"/>
  <c r="G57" i="1"/>
  <c r="D57" i="1"/>
  <c r="C57" i="1"/>
  <c r="CJ55" i="1"/>
  <c r="CI55" i="1"/>
  <c r="CF55" i="1"/>
  <c r="CE55" i="1"/>
  <c r="CB55" i="1"/>
  <c r="CA55" i="1"/>
  <c r="BX55" i="1"/>
  <c r="BW55" i="1"/>
  <c r="BT55" i="1"/>
  <c r="BS55" i="1"/>
  <c r="BP55" i="1"/>
  <c r="BO55" i="1"/>
  <c r="BL55" i="1"/>
  <c r="BK55" i="1"/>
  <c r="BH55" i="1"/>
  <c r="BG55" i="1"/>
  <c r="BD55" i="1"/>
  <c r="BC55" i="1"/>
  <c r="AZ55" i="1"/>
  <c r="AY55" i="1"/>
  <c r="AV55" i="1"/>
  <c r="AU55" i="1"/>
  <c r="AR55" i="1"/>
  <c r="AQ55" i="1"/>
  <c r="AN55" i="1"/>
  <c r="AM55" i="1"/>
  <c r="AJ55" i="1"/>
  <c r="AI55" i="1"/>
  <c r="AF55" i="1"/>
  <c r="AE55" i="1"/>
  <c r="AB55" i="1"/>
  <c r="AA55" i="1"/>
  <c r="X55" i="1"/>
  <c r="W55" i="1"/>
  <c r="T55" i="1"/>
  <c r="S55" i="1"/>
  <c r="P55" i="1"/>
  <c r="O55" i="1"/>
  <c r="L55" i="1"/>
  <c r="K55" i="1"/>
  <c r="H55" i="1"/>
  <c r="G55" i="1"/>
  <c r="D55" i="1"/>
  <c r="C55" i="1"/>
  <c r="CJ54" i="1"/>
  <c r="CI54" i="1"/>
  <c r="CF54" i="1"/>
  <c r="CE54" i="1"/>
  <c r="CB54" i="1"/>
  <c r="CA54" i="1"/>
  <c r="BX54" i="1"/>
  <c r="BW54" i="1"/>
  <c r="BT54" i="1"/>
  <c r="BS54" i="1"/>
  <c r="BP54" i="1"/>
  <c r="BO54" i="1"/>
  <c r="BL54" i="1"/>
  <c r="BK54" i="1"/>
  <c r="BH54" i="1"/>
  <c r="BG54" i="1"/>
  <c r="BD54" i="1"/>
  <c r="BC54" i="1"/>
  <c r="AZ54" i="1"/>
  <c r="AY54" i="1"/>
  <c r="AV54" i="1"/>
  <c r="AU54" i="1"/>
  <c r="AR54" i="1"/>
  <c r="AQ54" i="1"/>
  <c r="AN54" i="1"/>
  <c r="AM54" i="1"/>
  <c r="AJ54" i="1"/>
  <c r="AI54" i="1"/>
  <c r="AF54" i="1"/>
  <c r="AE54" i="1"/>
  <c r="AB54" i="1"/>
  <c r="AA54" i="1"/>
  <c r="X54" i="1"/>
  <c r="W54" i="1"/>
  <c r="T54" i="1"/>
  <c r="S54" i="1"/>
  <c r="P54" i="1"/>
  <c r="O54" i="1"/>
  <c r="L54" i="1"/>
  <c r="K54" i="1"/>
  <c r="H54" i="1"/>
  <c r="G54" i="1"/>
  <c r="D54" i="1"/>
  <c r="C54" i="1"/>
  <c r="CJ53" i="1"/>
  <c r="CI53" i="1"/>
  <c r="CF53" i="1"/>
  <c r="CE53" i="1"/>
  <c r="CB53" i="1"/>
  <c r="CA53" i="1"/>
  <c r="BX53" i="1"/>
  <c r="BW53" i="1"/>
  <c r="BT53" i="1"/>
  <c r="BS53" i="1"/>
  <c r="BP53" i="1"/>
  <c r="BO53" i="1"/>
  <c r="BL53" i="1"/>
  <c r="BK53" i="1"/>
  <c r="BH53" i="1"/>
  <c r="BG53" i="1"/>
  <c r="BD53" i="1"/>
  <c r="BC53" i="1"/>
  <c r="AZ53" i="1"/>
  <c r="AY53" i="1"/>
  <c r="AV53" i="1"/>
  <c r="AU53" i="1"/>
  <c r="AR53" i="1"/>
  <c r="AQ53" i="1"/>
  <c r="AN53" i="1"/>
  <c r="AM53" i="1"/>
  <c r="AJ53" i="1"/>
  <c r="AI53" i="1"/>
  <c r="AF53" i="1"/>
  <c r="AE53" i="1"/>
  <c r="AB53" i="1"/>
  <c r="AA53" i="1"/>
  <c r="X53" i="1"/>
  <c r="W53" i="1"/>
  <c r="T53" i="1"/>
  <c r="S53" i="1"/>
  <c r="P53" i="1"/>
  <c r="O53" i="1"/>
  <c r="L53" i="1"/>
  <c r="K53" i="1"/>
  <c r="H53" i="1"/>
  <c r="G53" i="1"/>
  <c r="D53" i="1"/>
  <c r="C53" i="1"/>
  <c r="CJ52" i="1"/>
  <c r="CI52" i="1"/>
  <c r="CF52" i="1"/>
  <c r="CE52" i="1"/>
  <c r="CB52" i="1"/>
  <c r="CA52" i="1"/>
  <c r="BX52" i="1"/>
  <c r="BW52" i="1"/>
  <c r="BT52" i="1"/>
  <c r="BS52" i="1"/>
  <c r="BP52" i="1"/>
  <c r="BO52" i="1"/>
  <c r="BL52" i="1"/>
  <c r="BK52" i="1"/>
  <c r="BH52" i="1"/>
  <c r="BG52" i="1"/>
  <c r="BD52" i="1"/>
  <c r="BC52" i="1"/>
  <c r="AZ52" i="1"/>
  <c r="AY52" i="1"/>
  <c r="AV52" i="1"/>
  <c r="AU52" i="1"/>
  <c r="AR52" i="1"/>
  <c r="AQ52" i="1"/>
  <c r="AN52" i="1"/>
  <c r="AM52" i="1"/>
  <c r="AJ52" i="1"/>
  <c r="AI52" i="1"/>
  <c r="AF52" i="1"/>
  <c r="AE52" i="1"/>
  <c r="AB52" i="1"/>
  <c r="AA52" i="1"/>
  <c r="X52" i="1"/>
  <c r="W52" i="1"/>
  <c r="T52" i="1"/>
  <c r="S52" i="1"/>
  <c r="P52" i="1"/>
  <c r="O52" i="1"/>
  <c r="L52" i="1"/>
  <c r="K52" i="1"/>
  <c r="H52" i="1"/>
  <c r="G52" i="1"/>
  <c r="D52" i="1"/>
  <c r="C52" i="1"/>
  <c r="CJ51" i="1"/>
  <c r="CI51" i="1"/>
  <c r="CF51" i="1"/>
  <c r="CE51" i="1"/>
  <c r="CB51" i="1"/>
  <c r="CA51" i="1"/>
  <c r="BX51" i="1"/>
  <c r="BW51" i="1"/>
  <c r="BT51" i="1"/>
  <c r="BS51" i="1"/>
  <c r="BP51" i="1"/>
  <c r="BO51" i="1"/>
  <c r="BL51" i="1"/>
  <c r="BK51" i="1"/>
  <c r="BH51" i="1"/>
  <c r="BG51" i="1"/>
  <c r="BD51" i="1"/>
  <c r="BC51" i="1"/>
  <c r="AZ51" i="1"/>
  <c r="AY51" i="1"/>
  <c r="AV51" i="1"/>
  <c r="AU51" i="1"/>
  <c r="AR51" i="1"/>
  <c r="AQ51" i="1"/>
  <c r="AN51" i="1"/>
  <c r="AM51" i="1"/>
  <c r="AJ51" i="1"/>
  <c r="AI51" i="1"/>
  <c r="AF51" i="1"/>
  <c r="AE51" i="1"/>
  <c r="AB51" i="1"/>
  <c r="AA51" i="1"/>
  <c r="X51" i="1"/>
  <c r="W51" i="1"/>
  <c r="T51" i="1"/>
  <c r="S51" i="1"/>
  <c r="P51" i="1"/>
  <c r="O51" i="1"/>
  <c r="L51" i="1"/>
  <c r="K51" i="1"/>
  <c r="H51" i="1"/>
  <c r="G51" i="1"/>
  <c r="D51" i="1"/>
  <c r="C51" i="1"/>
  <c r="CJ49" i="1"/>
  <c r="CI49" i="1"/>
  <c r="CF49" i="1"/>
  <c r="CE49" i="1"/>
  <c r="CB49" i="1"/>
  <c r="CA49" i="1"/>
  <c r="BX49" i="1"/>
  <c r="BW49" i="1"/>
  <c r="BT49" i="1"/>
  <c r="BS49" i="1"/>
  <c r="BP49" i="1"/>
  <c r="BO49" i="1"/>
  <c r="BL49" i="1"/>
  <c r="BK49" i="1"/>
  <c r="BH49" i="1"/>
  <c r="BG49" i="1"/>
  <c r="BD49" i="1"/>
  <c r="BC49" i="1"/>
  <c r="AZ49" i="1"/>
  <c r="AY49" i="1"/>
  <c r="AV49" i="1"/>
  <c r="AU49" i="1"/>
  <c r="AR49" i="1"/>
  <c r="AQ49" i="1"/>
  <c r="AN49" i="1"/>
  <c r="AM49" i="1"/>
  <c r="AJ49" i="1"/>
  <c r="AI49" i="1"/>
  <c r="AF49" i="1"/>
  <c r="AE49" i="1"/>
  <c r="AB49" i="1"/>
  <c r="AA49" i="1"/>
  <c r="X49" i="1"/>
  <c r="W49" i="1"/>
  <c r="T49" i="1"/>
  <c r="S49" i="1"/>
  <c r="P49" i="1"/>
  <c r="O49" i="1"/>
  <c r="L49" i="1"/>
  <c r="K49" i="1"/>
  <c r="H49" i="1"/>
  <c r="G49" i="1"/>
  <c r="D49" i="1"/>
  <c r="C49" i="1"/>
  <c r="CJ48" i="1"/>
  <c r="CI48" i="1"/>
  <c r="CF48" i="1"/>
  <c r="CE48" i="1"/>
  <c r="CB48" i="1"/>
  <c r="CA48" i="1"/>
  <c r="BX48" i="1"/>
  <c r="BW48" i="1"/>
  <c r="BT48" i="1"/>
  <c r="BS48" i="1"/>
  <c r="BP48" i="1"/>
  <c r="BO48" i="1"/>
  <c r="BL48" i="1"/>
  <c r="BK48" i="1"/>
  <c r="BH48" i="1"/>
  <c r="BG48" i="1"/>
  <c r="BD48" i="1"/>
  <c r="BC48" i="1"/>
  <c r="AZ48" i="1"/>
  <c r="AY48" i="1"/>
  <c r="AV48" i="1"/>
  <c r="AU48" i="1"/>
  <c r="AR48" i="1"/>
  <c r="AQ48" i="1"/>
  <c r="AN48" i="1"/>
  <c r="AM48" i="1"/>
  <c r="AJ48" i="1"/>
  <c r="AI48" i="1"/>
  <c r="AF48" i="1"/>
  <c r="AE48" i="1"/>
  <c r="AB48" i="1"/>
  <c r="AA48" i="1"/>
  <c r="X48" i="1"/>
  <c r="W48" i="1"/>
  <c r="T48" i="1"/>
  <c r="S48" i="1"/>
  <c r="P48" i="1"/>
  <c r="O48" i="1"/>
  <c r="L48" i="1"/>
  <c r="K48" i="1"/>
  <c r="H48" i="1"/>
  <c r="G48" i="1"/>
  <c r="D48" i="1"/>
  <c r="C48" i="1"/>
  <c r="CJ47" i="1"/>
  <c r="CI47" i="1"/>
  <c r="CF47" i="1"/>
  <c r="CE47" i="1"/>
  <c r="CB47" i="1"/>
  <c r="CA47" i="1"/>
  <c r="BX47" i="1"/>
  <c r="BW47" i="1"/>
  <c r="BT47" i="1"/>
  <c r="BS47" i="1"/>
  <c r="BP47" i="1"/>
  <c r="BO47" i="1"/>
  <c r="BL47" i="1"/>
  <c r="BK47" i="1"/>
  <c r="BH47" i="1"/>
  <c r="BG47" i="1"/>
  <c r="BD47" i="1"/>
  <c r="BC47" i="1"/>
  <c r="AZ47" i="1"/>
  <c r="AY47" i="1"/>
  <c r="AV47" i="1"/>
  <c r="AU47" i="1"/>
  <c r="AR47" i="1"/>
  <c r="AQ47" i="1"/>
  <c r="AN47" i="1"/>
  <c r="AM47" i="1"/>
  <c r="AJ47" i="1"/>
  <c r="AI47" i="1"/>
  <c r="AF47" i="1"/>
  <c r="AE47" i="1"/>
  <c r="AB47" i="1"/>
  <c r="AA47" i="1"/>
  <c r="X47" i="1"/>
  <c r="W47" i="1"/>
  <c r="T47" i="1"/>
  <c r="S47" i="1"/>
  <c r="P47" i="1"/>
  <c r="O47" i="1"/>
  <c r="L47" i="1"/>
  <c r="K47" i="1"/>
  <c r="H47" i="1"/>
  <c r="G47" i="1"/>
  <c r="D47" i="1"/>
  <c r="C47" i="1"/>
  <c r="CJ46" i="1"/>
  <c r="CI46" i="1"/>
  <c r="CF46" i="1"/>
  <c r="CE46" i="1"/>
  <c r="CB46" i="1"/>
  <c r="CA46" i="1"/>
  <c r="BX46" i="1"/>
  <c r="BW46" i="1"/>
  <c r="BT46" i="1"/>
  <c r="BS46" i="1"/>
  <c r="BP46" i="1"/>
  <c r="BO46" i="1"/>
  <c r="BL46" i="1"/>
  <c r="BK46" i="1"/>
  <c r="BH46" i="1"/>
  <c r="BG46" i="1"/>
  <c r="BD46" i="1"/>
  <c r="BC46" i="1"/>
  <c r="AZ46" i="1"/>
  <c r="AY46" i="1"/>
  <c r="AV46" i="1"/>
  <c r="AU46" i="1"/>
  <c r="AR46" i="1"/>
  <c r="AQ46" i="1"/>
  <c r="AN46" i="1"/>
  <c r="AM46" i="1"/>
  <c r="AJ46" i="1"/>
  <c r="AI46" i="1"/>
  <c r="AF46" i="1"/>
  <c r="AE46" i="1"/>
  <c r="AB46" i="1"/>
  <c r="AA46" i="1"/>
  <c r="X46" i="1"/>
  <c r="W46" i="1"/>
  <c r="T46" i="1"/>
  <c r="S46" i="1"/>
  <c r="P46" i="1"/>
  <c r="O46" i="1"/>
  <c r="L46" i="1"/>
  <c r="K46" i="1"/>
  <c r="H46" i="1"/>
  <c r="G46" i="1"/>
  <c r="D46" i="1"/>
  <c r="C46" i="1"/>
  <c r="CJ44" i="1"/>
  <c r="CI44" i="1"/>
  <c r="CF44" i="1"/>
  <c r="CE44" i="1"/>
  <c r="CB44" i="1"/>
  <c r="CA44" i="1"/>
  <c r="BX44" i="1"/>
  <c r="BW44" i="1"/>
  <c r="BT44" i="1"/>
  <c r="BS44" i="1"/>
  <c r="BP44" i="1"/>
  <c r="BO44" i="1"/>
  <c r="BL44" i="1"/>
  <c r="BK44" i="1"/>
  <c r="BH44" i="1"/>
  <c r="BG44" i="1"/>
  <c r="BD44" i="1"/>
  <c r="BC44" i="1"/>
  <c r="AZ44" i="1"/>
  <c r="AY44" i="1"/>
  <c r="AV44" i="1"/>
  <c r="AU44" i="1"/>
  <c r="AR44" i="1"/>
  <c r="AQ44" i="1"/>
  <c r="AN44" i="1"/>
  <c r="AM44" i="1"/>
  <c r="AJ44" i="1"/>
  <c r="AI44" i="1"/>
  <c r="AF44" i="1"/>
  <c r="AE44" i="1"/>
  <c r="AB44" i="1"/>
  <c r="AA44" i="1"/>
  <c r="X44" i="1"/>
  <c r="W44" i="1"/>
  <c r="T44" i="1"/>
  <c r="S44" i="1"/>
  <c r="P44" i="1"/>
  <c r="O44" i="1"/>
  <c r="L44" i="1"/>
  <c r="K44" i="1"/>
  <c r="H44" i="1"/>
  <c r="G44" i="1"/>
  <c r="D44" i="1"/>
  <c r="C44" i="1"/>
  <c r="CJ43" i="1"/>
  <c r="CI43" i="1"/>
  <c r="CF43" i="1"/>
  <c r="CE43" i="1"/>
  <c r="CB43" i="1"/>
  <c r="CA43" i="1"/>
  <c r="BX43" i="1"/>
  <c r="BW43" i="1"/>
  <c r="BT43" i="1"/>
  <c r="BS43" i="1"/>
  <c r="BP43" i="1"/>
  <c r="BO43" i="1"/>
  <c r="BL43" i="1"/>
  <c r="BK43" i="1"/>
  <c r="BH43" i="1"/>
  <c r="BG43" i="1"/>
  <c r="BD43" i="1"/>
  <c r="BC43" i="1"/>
  <c r="AZ43" i="1"/>
  <c r="AY43" i="1"/>
  <c r="AV43" i="1"/>
  <c r="AU43" i="1"/>
  <c r="AR43" i="1"/>
  <c r="AQ43" i="1"/>
  <c r="AN43" i="1"/>
  <c r="AM43" i="1"/>
  <c r="AJ43" i="1"/>
  <c r="AI43" i="1"/>
  <c r="AF43" i="1"/>
  <c r="AE43" i="1"/>
  <c r="AB43" i="1"/>
  <c r="AA43" i="1"/>
  <c r="X43" i="1"/>
  <c r="W43" i="1"/>
  <c r="T43" i="1"/>
  <c r="S43" i="1"/>
  <c r="P43" i="1"/>
  <c r="O43" i="1"/>
  <c r="L43" i="1"/>
  <c r="K43" i="1"/>
  <c r="H43" i="1"/>
  <c r="G43" i="1"/>
  <c r="D43" i="1"/>
  <c r="C43" i="1"/>
  <c r="CJ42" i="1"/>
  <c r="CI42" i="1"/>
  <c r="CF42" i="1"/>
  <c r="CE42" i="1"/>
  <c r="CB42" i="1"/>
  <c r="CA42" i="1"/>
  <c r="BX42" i="1"/>
  <c r="BW42" i="1"/>
  <c r="BT42" i="1"/>
  <c r="BS42" i="1"/>
  <c r="BP42" i="1"/>
  <c r="BO42" i="1"/>
  <c r="BL42" i="1"/>
  <c r="BK42" i="1"/>
  <c r="BH42" i="1"/>
  <c r="BG42" i="1"/>
  <c r="BD42" i="1"/>
  <c r="BC42" i="1"/>
  <c r="AZ42" i="1"/>
  <c r="AY42" i="1"/>
  <c r="AV42" i="1"/>
  <c r="AU42" i="1"/>
  <c r="AR42" i="1"/>
  <c r="AQ42" i="1"/>
  <c r="AN42" i="1"/>
  <c r="AM42" i="1"/>
  <c r="AJ42" i="1"/>
  <c r="AI42" i="1"/>
  <c r="AF42" i="1"/>
  <c r="AE42" i="1"/>
  <c r="AB42" i="1"/>
  <c r="AA42" i="1"/>
  <c r="X42" i="1"/>
  <c r="W42" i="1"/>
  <c r="T42" i="1"/>
  <c r="S42" i="1"/>
  <c r="P42" i="1"/>
  <c r="O42" i="1"/>
  <c r="L42" i="1"/>
  <c r="K42" i="1"/>
  <c r="H42" i="1"/>
  <c r="G42" i="1"/>
  <c r="D42" i="1"/>
  <c r="C42" i="1"/>
  <c r="CJ41" i="1"/>
  <c r="CI41" i="1"/>
  <c r="CF41" i="1"/>
  <c r="CE41" i="1"/>
  <c r="CB41" i="1"/>
  <c r="CA41" i="1"/>
  <c r="BX41" i="1"/>
  <c r="BW41" i="1"/>
  <c r="BT41" i="1"/>
  <c r="BS41" i="1"/>
  <c r="BP41" i="1"/>
  <c r="BO41" i="1"/>
  <c r="BL41" i="1"/>
  <c r="BK41" i="1"/>
  <c r="BH41" i="1"/>
  <c r="BG41" i="1"/>
  <c r="BD41" i="1"/>
  <c r="BC41" i="1"/>
  <c r="AZ41" i="1"/>
  <c r="AY41" i="1"/>
  <c r="AV41" i="1"/>
  <c r="AU41" i="1"/>
  <c r="AR41" i="1"/>
  <c r="AQ41" i="1"/>
  <c r="AN41" i="1"/>
  <c r="AM41" i="1"/>
  <c r="AJ41" i="1"/>
  <c r="AI41" i="1"/>
  <c r="AF41" i="1"/>
  <c r="AE41" i="1"/>
  <c r="AB41" i="1"/>
  <c r="AA41" i="1"/>
  <c r="X41" i="1"/>
  <c r="W41" i="1"/>
  <c r="T41" i="1"/>
  <c r="S41" i="1"/>
  <c r="P41" i="1"/>
  <c r="O41" i="1"/>
  <c r="L41" i="1"/>
  <c r="K41" i="1"/>
  <c r="H41" i="1"/>
  <c r="G41" i="1"/>
  <c r="D41" i="1"/>
  <c r="C41" i="1"/>
  <c r="CJ39" i="1"/>
  <c r="CI39" i="1"/>
  <c r="CF39" i="1"/>
  <c r="CE39" i="1"/>
  <c r="CB39" i="1"/>
  <c r="CA39" i="1"/>
  <c r="BX39" i="1"/>
  <c r="BW39" i="1"/>
  <c r="BT39" i="1"/>
  <c r="BS39" i="1"/>
  <c r="BP39" i="1"/>
  <c r="BO39" i="1"/>
  <c r="BL39" i="1"/>
  <c r="BK39" i="1"/>
  <c r="BH39" i="1"/>
  <c r="BG39" i="1"/>
  <c r="BD39" i="1"/>
  <c r="BC39" i="1"/>
  <c r="AZ39" i="1"/>
  <c r="AY39" i="1"/>
  <c r="AV39" i="1"/>
  <c r="AU39" i="1"/>
  <c r="AR39" i="1"/>
  <c r="AQ39" i="1"/>
  <c r="AN39" i="1"/>
  <c r="AM39" i="1"/>
  <c r="AJ39" i="1"/>
  <c r="AI39" i="1"/>
  <c r="AF39" i="1"/>
  <c r="AE39" i="1"/>
  <c r="AB39" i="1"/>
  <c r="AA39" i="1"/>
  <c r="X39" i="1"/>
  <c r="W39" i="1"/>
  <c r="T39" i="1"/>
  <c r="S39" i="1"/>
  <c r="P39" i="1"/>
  <c r="O39" i="1"/>
  <c r="L39" i="1"/>
  <c r="K39" i="1"/>
  <c r="H39" i="1"/>
  <c r="G39" i="1"/>
  <c r="D39" i="1"/>
  <c r="C39" i="1"/>
  <c r="CJ38" i="1"/>
  <c r="CI38" i="1"/>
  <c r="CF38" i="1"/>
  <c r="CE38" i="1"/>
  <c r="CB38" i="1"/>
  <c r="CA38" i="1"/>
  <c r="BX38" i="1"/>
  <c r="BW38" i="1"/>
  <c r="BT38" i="1"/>
  <c r="BS38" i="1"/>
  <c r="BP38" i="1"/>
  <c r="BO38" i="1"/>
  <c r="BL38" i="1"/>
  <c r="BK38" i="1"/>
  <c r="BH38" i="1"/>
  <c r="BG38" i="1"/>
  <c r="BD38" i="1"/>
  <c r="BC38" i="1"/>
  <c r="AZ38" i="1"/>
  <c r="AY38" i="1"/>
  <c r="AV38" i="1"/>
  <c r="AU38" i="1"/>
  <c r="AR38" i="1"/>
  <c r="AQ38" i="1"/>
  <c r="AN38" i="1"/>
  <c r="AM38" i="1"/>
  <c r="AJ38" i="1"/>
  <c r="AI38" i="1"/>
  <c r="AF38" i="1"/>
  <c r="AE38" i="1"/>
  <c r="AB38" i="1"/>
  <c r="AA38" i="1"/>
  <c r="X38" i="1"/>
  <c r="W38" i="1"/>
  <c r="T38" i="1"/>
  <c r="S38" i="1"/>
  <c r="P38" i="1"/>
  <c r="O38" i="1"/>
  <c r="L38" i="1"/>
  <c r="K38" i="1"/>
  <c r="H38" i="1"/>
  <c r="G38" i="1"/>
  <c r="D38" i="1"/>
  <c r="C38" i="1"/>
  <c r="CJ37" i="1"/>
  <c r="CI37" i="1"/>
  <c r="CF37" i="1"/>
  <c r="CE37" i="1"/>
  <c r="CB37" i="1"/>
  <c r="CA37" i="1"/>
  <c r="BX37" i="1"/>
  <c r="BW37" i="1"/>
  <c r="BT37" i="1"/>
  <c r="BS37" i="1"/>
  <c r="BP37" i="1"/>
  <c r="BO37" i="1"/>
  <c r="BL37" i="1"/>
  <c r="BK37" i="1"/>
  <c r="BH37" i="1"/>
  <c r="BG37" i="1"/>
  <c r="BD37" i="1"/>
  <c r="BC37" i="1"/>
  <c r="AZ37" i="1"/>
  <c r="AY37" i="1"/>
  <c r="AV37" i="1"/>
  <c r="AU37" i="1"/>
  <c r="AR37" i="1"/>
  <c r="AQ37" i="1"/>
  <c r="AN37" i="1"/>
  <c r="AM37" i="1"/>
  <c r="AJ37" i="1"/>
  <c r="AI37" i="1"/>
  <c r="AF37" i="1"/>
  <c r="AE37" i="1"/>
  <c r="AB37" i="1"/>
  <c r="AA37" i="1"/>
  <c r="X37" i="1"/>
  <c r="W37" i="1"/>
  <c r="T37" i="1"/>
  <c r="S37" i="1"/>
  <c r="P37" i="1"/>
  <c r="O37" i="1"/>
  <c r="L37" i="1"/>
  <c r="K37" i="1"/>
  <c r="H37" i="1"/>
  <c r="G37" i="1"/>
  <c r="D37" i="1"/>
  <c r="C37" i="1"/>
  <c r="CJ36" i="1"/>
  <c r="CI36" i="1"/>
  <c r="CF36" i="1"/>
  <c r="CE36" i="1"/>
  <c r="CB36" i="1"/>
  <c r="CA36" i="1"/>
  <c r="BX36" i="1"/>
  <c r="BW36" i="1"/>
  <c r="BT36" i="1"/>
  <c r="BS36" i="1"/>
  <c r="BP36" i="1"/>
  <c r="BO36" i="1"/>
  <c r="BL36" i="1"/>
  <c r="BK36" i="1"/>
  <c r="BH36" i="1"/>
  <c r="BG36" i="1"/>
  <c r="BD36" i="1"/>
  <c r="BC36" i="1"/>
  <c r="AZ36" i="1"/>
  <c r="AY36" i="1"/>
  <c r="AV36" i="1"/>
  <c r="AU36" i="1"/>
  <c r="AR36" i="1"/>
  <c r="AQ36" i="1"/>
  <c r="AN36" i="1"/>
  <c r="AM36" i="1"/>
  <c r="AJ36" i="1"/>
  <c r="AI36" i="1"/>
  <c r="AF36" i="1"/>
  <c r="AE36" i="1"/>
  <c r="AB36" i="1"/>
  <c r="AA36" i="1"/>
  <c r="X36" i="1"/>
  <c r="W36" i="1"/>
  <c r="T36" i="1"/>
  <c r="S36" i="1"/>
  <c r="P36" i="1"/>
  <c r="O36" i="1"/>
  <c r="L36" i="1"/>
  <c r="K36" i="1"/>
  <c r="H36" i="1"/>
  <c r="G36" i="1"/>
  <c r="D36" i="1"/>
  <c r="C36" i="1"/>
  <c r="CJ34" i="1"/>
  <c r="CI34" i="1"/>
  <c r="CF34" i="1"/>
  <c r="CE34" i="1"/>
  <c r="CB34" i="1"/>
  <c r="CA34" i="1"/>
  <c r="BX34" i="1"/>
  <c r="BW34" i="1"/>
  <c r="BT34" i="1"/>
  <c r="BS34" i="1"/>
  <c r="BP34" i="1"/>
  <c r="BO34" i="1"/>
  <c r="BL34" i="1"/>
  <c r="BK34" i="1"/>
  <c r="BH34" i="1"/>
  <c r="BG34" i="1"/>
  <c r="BD34" i="1"/>
  <c r="BC34" i="1"/>
  <c r="AZ34" i="1"/>
  <c r="AY34" i="1"/>
  <c r="AV34" i="1"/>
  <c r="AU34" i="1"/>
  <c r="AR34" i="1"/>
  <c r="AQ34" i="1"/>
  <c r="AN34" i="1"/>
  <c r="AM34" i="1"/>
  <c r="AJ34" i="1"/>
  <c r="AI34" i="1"/>
  <c r="AF34" i="1"/>
  <c r="AE34" i="1"/>
  <c r="AB34" i="1"/>
  <c r="AA34" i="1"/>
  <c r="X34" i="1"/>
  <c r="W34" i="1"/>
  <c r="T34" i="1"/>
  <c r="S34" i="1"/>
  <c r="P34" i="1"/>
  <c r="O34" i="1"/>
  <c r="L34" i="1"/>
  <c r="K34" i="1"/>
  <c r="H34" i="1"/>
  <c r="G34" i="1"/>
  <c r="D34" i="1"/>
  <c r="C34" i="1"/>
  <c r="CJ33" i="1"/>
  <c r="CI33" i="1"/>
  <c r="CF33" i="1"/>
  <c r="CE33" i="1"/>
  <c r="CB33" i="1"/>
  <c r="CA33" i="1"/>
  <c r="BX33" i="1"/>
  <c r="BW33" i="1"/>
  <c r="BT33" i="1"/>
  <c r="BS33" i="1"/>
  <c r="BP33" i="1"/>
  <c r="BO33" i="1"/>
  <c r="BL33" i="1"/>
  <c r="BK33" i="1"/>
  <c r="BH33" i="1"/>
  <c r="BG33" i="1"/>
  <c r="BD33" i="1"/>
  <c r="BC33" i="1"/>
  <c r="AZ33" i="1"/>
  <c r="AY33" i="1"/>
  <c r="AV33" i="1"/>
  <c r="AU33" i="1"/>
  <c r="AR33" i="1"/>
  <c r="AQ33" i="1"/>
  <c r="AN33" i="1"/>
  <c r="AM33" i="1"/>
  <c r="AJ33" i="1"/>
  <c r="AI33" i="1"/>
  <c r="AF33" i="1"/>
  <c r="AE33" i="1"/>
  <c r="AB33" i="1"/>
  <c r="AA33" i="1"/>
  <c r="X33" i="1"/>
  <c r="W33" i="1"/>
  <c r="T33" i="1"/>
  <c r="S33" i="1"/>
  <c r="P33" i="1"/>
  <c r="O33" i="1"/>
  <c r="L33" i="1"/>
  <c r="K33" i="1"/>
  <c r="H33" i="1"/>
  <c r="G33" i="1"/>
  <c r="D33" i="1"/>
  <c r="C33" i="1"/>
  <c r="CJ32" i="1"/>
  <c r="CI32" i="1"/>
  <c r="CF32" i="1"/>
  <c r="CE32" i="1"/>
  <c r="CB32" i="1"/>
  <c r="CA32" i="1"/>
  <c r="BX32" i="1"/>
  <c r="BW32" i="1"/>
  <c r="BT32" i="1"/>
  <c r="BS32" i="1"/>
  <c r="BP32" i="1"/>
  <c r="BO32" i="1"/>
  <c r="BL32" i="1"/>
  <c r="BK32" i="1"/>
  <c r="BH32" i="1"/>
  <c r="BG32" i="1"/>
  <c r="BD32" i="1"/>
  <c r="BC32" i="1"/>
  <c r="AZ32" i="1"/>
  <c r="AY32" i="1"/>
  <c r="AV32" i="1"/>
  <c r="AU32" i="1"/>
  <c r="AR32" i="1"/>
  <c r="AQ32" i="1"/>
  <c r="AN32" i="1"/>
  <c r="AM32" i="1"/>
  <c r="AJ32" i="1"/>
  <c r="AI32" i="1"/>
  <c r="AF32" i="1"/>
  <c r="AE32" i="1"/>
  <c r="AB32" i="1"/>
  <c r="AA32" i="1"/>
  <c r="X32" i="1"/>
  <c r="W32" i="1"/>
  <c r="T32" i="1"/>
  <c r="S32" i="1"/>
  <c r="P32" i="1"/>
  <c r="O32" i="1"/>
  <c r="L32" i="1"/>
  <c r="K32" i="1"/>
  <c r="H32" i="1"/>
  <c r="G32" i="1"/>
  <c r="D32" i="1"/>
  <c r="C32" i="1"/>
  <c r="CJ31" i="1"/>
  <c r="CI31" i="1"/>
  <c r="CF31" i="1"/>
  <c r="CE31" i="1"/>
  <c r="CB31" i="1"/>
  <c r="CA31" i="1"/>
  <c r="BX31" i="1"/>
  <c r="BW31" i="1"/>
  <c r="BT31" i="1"/>
  <c r="BS31" i="1"/>
  <c r="BP31" i="1"/>
  <c r="BO31" i="1"/>
  <c r="BL31" i="1"/>
  <c r="BK31" i="1"/>
  <c r="BH31" i="1"/>
  <c r="BG31" i="1"/>
  <c r="BD31" i="1"/>
  <c r="BC31" i="1"/>
  <c r="AZ31" i="1"/>
  <c r="AY31" i="1"/>
  <c r="AV31" i="1"/>
  <c r="AU31" i="1"/>
  <c r="AR31" i="1"/>
  <c r="AQ31" i="1"/>
  <c r="AN31" i="1"/>
  <c r="AM31" i="1"/>
  <c r="AJ31" i="1"/>
  <c r="AI31" i="1"/>
  <c r="AF31" i="1"/>
  <c r="AE31" i="1"/>
  <c r="AB31" i="1"/>
  <c r="AA31" i="1"/>
  <c r="X31" i="1"/>
  <c r="W31" i="1"/>
  <c r="T31" i="1"/>
  <c r="S31" i="1"/>
  <c r="P31" i="1"/>
  <c r="O31" i="1"/>
  <c r="L31" i="1"/>
  <c r="K31" i="1"/>
  <c r="H31" i="1"/>
  <c r="G31" i="1"/>
  <c r="D31" i="1"/>
  <c r="C31" i="1"/>
  <c r="CJ29" i="1"/>
  <c r="CI29" i="1"/>
  <c r="CF29" i="1"/>
  <c r="CE29" i="1"/>
  <c r="CB29" i="1"/>
  <c r="CA29" i="1"/>
  <c r="BX29" i="1"/>
  <c r="BW29" i="1"/>
  <c r="BT29" i="1"/>
  <c r="BS29" i="1"/>
  <c r="BP29" i="1"/>
  <c r="BO29" i="1"/>
  <c r="BL29" i="1"/>
  <c r="BK29" i="1"/>
  <c r="BH29" i="1"/>
  <c r="BG29" i="1"/>
  <c r="BD29" i="1"/>
  <c r="BC29" i="1"/>
  <c r="AZ29" i="1"/>
  <c r="AY29" i="1"/>
  <c r="AV29" i="1"/>
  <c r="AU29" i="1"/>
  <c r="AR29" i="1"/>
  <c r="AQ29" i="1"/>
  <c r="AN29" i="1"/>
  <c r="AM29" i="1"/>
  <c r="AJ29" i="1"/>
  <c r="AI29" i="1"/>
  <c r="AF29" i="1"/>
  <c r="AE29" i="1"/>
  <c r="AB29" i="1"/>
  <c r="AA29" i="1"/>
  <c r="X29" i="1"/>
  <c r="W29" i="1"/>
  <c r="T29" i="1"/>
  <c r="S29" i="1"/>
  <c r="P29" i="1"/>
  <c r="O29" i="1"/>
  <c r="L29" i="1"/>
  <c r="K29" i="1"/>
  <c r="H29" i="1"/>
  <c r="G29" i="1"/>
  <c r="D29" i="1"/>
  <c r="C29" i="1"/>
  <c r="CJ28" i="1"/>
  <c r="CI28" i="1"/>
  <c r="CF28" i="1"/>
  <c r="CE28" i="1"/>
  <c r="CB28" i="1"/>
  <c r="CA28" i="1"/>
  <c r="BX28" i="1"/>
  <c r="BW28" i="1"/>
  <c r="BT28" i="1"/>
  <c r="BS28" i="1"/>
  <c r="BP28" i="1"/>
  <c r="BO28" i="1"/>
  <c r="BL28" i="1"/>
  <c r="BK28" i="1"/>
  <c r="BH28" i="1"/>
  <c r="BG28" i="1"/>
  <c r="BD28" i="1"/>
  <c r="BC28" i="1"/>
  <c r="AZ28" i="1"/>
  <c r="AY28" i="1"/>
  <c r="AV28" i="1"/>
  <c r="AU28" i="1"/>
  <c r="AR28" i="1"/>
  <c r="AQ28" i="1"/>
  <c r="AN28" i="1"/>
  <c r="AM28" i="1"/>
  <c r="AJ28" i="1"/>
  <c r="AI28" i="1"/>
  <c r="AF28" i="1"/>
  <c r="AE28" i="1"/>
  <c r="AB28" i="1"/>
  <c r="AA28" i="1"/>
  <c r="X28" i="1"/>
  <c r="W28" i="1"/>
  <c r="T28" i="1"/>
  <c r="S28" i="1"/>
  <c r="P28" i="1"/>
  <c r="O28" i="1"/>
  <c r="L28" i="1"/>
  <c r="K28" i="1"/>
  <c r="H28" i="1"/>
  <c r="G28" i="1"/>
  <c r="D28" i="1"/>
  <c r="C28" i="1"/>
  <c r="CJ27" i="1"/>
  <c r="CI27" i="1"/>
  <c r="CF27" i="1"/>
  <c r="CE27" i="1"/>
  <c r="CB27" i="1"/>
  <c r="CA27" i="1"/>
  <c r="BX27" i="1"/>
  <c r="BW27" i="1"/>
  <c r="BT27" i="1"/>
  <c r="BS27" i="1"/>
  <c r="BP27" i="1"/>
  <c r="BO27" i="1"/>
  <c r="BL27" i="1"/>
  <c r="BK27" i="1"/>
  <c r="BH27" i="1"/>
  <c r="BG27" i="1"/>
  <c r="BD27" i="1"/>
  <c r="BC27" i="1"/>
  <c r="AZ27" i="1"/>
  <c r="AY27" i="1"/>
  <c r="AV27" i="1"/>
  <c r="AU27" i="1"/>
  <c r="AR27" i="1"/>
  <c r="AQ27" i="1"/>
  <c r="AN27" i="1"/>
  <c r="AM27" i="1"/>
  <c r="AJ27" i="1"/>
  <c r="AI27" i="1"/>
  <c r="AF27" i="1"/>
  <c r="AE27" i="1"/>
  <c r="AB27" i="1"/>
  <c r="AA27" i="1"/>
  <c r="X27" i="1"/>
  <c r="W27" i="1"/>
  <c r="T27" i="1"/>
  <c r="S27" i="1"/>
  <c r="P27" i="1"/>
  <c r="O27" i="1"/>
  <c r="L27" i="1"/>
  <c r="K27" i="1"/>
  <c r="H27" i="1"/>
  <c r="G27" i="1"/>
  <c r="D27" i="1"/>
  <c r="C27" i="1"/>
  <c r="CJ26" i="1"/>
  <c r="CI26" i="1"/>
  <c r="CF26" i="1"/>
  <c r="CE26" i="1"/>
  <c r="CB26" i="1"/>
  <c r="CA26" i="1"/>
  <c r="BX26" i="1"/>
  <c r="BW26" i="1"/>
  <c r="BT26" i="1"/>
  <c r="BS26" i="1"/>
  <c r="BP26" i="1"/>
  <c r="BO26" i="1"/>
  <c r="BL26" i="1"/>
  <c r="BK26" i="1"/>
  <c r="BH26" i="1"/>
  <c r="BG26" i="1"/>
  <c r="BD26" i="1"/>
  <c r="BC26" i="1"/>
  <c r="AZ26" i="1"/>
  <c r="AY26" i="1"/>
  <c r="AV26" i="1"/>
  <c r="AU26" i="1"/>
  <c r="AR26" i="1"/>
  <c r="AQ26" i="1"/>
  <c r="AN26" i="1"/>
  <c r="AM26" i="1"/>
  <c r="AJ26" i="1"/>
  <c r="AI26" i="1"/>
  <c r="AF26" i="1"/>
  <c r="AE26" i="1"/>
  <c r="AB26" i="1"/>
  <c r="AA26" i="1"/>
  <c r="X26" i="1"/>
  <c r="W26" i="1"/>
  <c r="T26" i="1"/>
  <c r="S26" i="1"/>
  <c r="P26" i="1"/>
  <c r="O26" i="1"/>
  <c r="L26" i="1"/>
  <c r="K26" i="1"/>
  <c r="H26" i="1"/>
  <c r="G26" i="1"/>
  <c r="D26" i="1"/>
  <c r="C26" i="1"/>
  <c r="CJ19" i="1"/>
  <c r="CI19" i="1"/>
  <c r="CF19" i="1"/>
  <c r="CE19" i="1"/>
  <c r="CB19" i="1"/>
  <c r="CA19" i="1"/>
  <c r="BX19" i="1"/>
  <c r="BW19" i="1"/>
  <c r="BT19" i="1"/>
  <c r="BS19" i="1"/>
  <c r="BP19" i="1"/>
  <c r="BO19" i="1"/>
  <c r="BL19" i="1"/>
  <c r="BK19" i="1"/>
  <c r="BH19" i="1"/>
  <c r="BG19" i="1"/>
  <c r="BD19" i="1"/>
  <c r="BC19" i="1"/>
  <c r="AZ19" i="1"/>
  <c r="AY19" i="1"/>
  <c r="AV19" i="1"/>
  <c r="AU19" i="1"/>
  <c r="AR19" i="1"/>
  <c r="AQ19" i="1"/>
  <c r="AN19" i="1"/>
  <c r="AM19" i="1"/>
  <c r="AJ19" i="1"/>
  <c r="AI19" i="1"/>
  <c r="AF19" i="1"/>
  <c r="AE19" i="1"/>
  <c r="AB19" i="1"/>
  <c r="AA19" i="1"/>
  <c r="X19" i="1"/>
  <c r="W19" i="1"/>
  <c r="T19" i="1"/>
  <c r="S19" i="1"/>
  <c r="P19" i="1"/>
  <c r="O19" i="1"/>
  <c r="L19" i="1"/>
  <c r="K19" i="1"/>
  <c r="H19" i="1"/>
  <c r="G19" i="1"/>
  <c r="D19" i="1"/>
  <c r="C19" i="1"/>
  <c r="CJ18" i="1"/>
  <c r="CI18" i="1"/>
  <c r="CF18" i="1"/>
  <c r="CE18" i="1"/>
  <c r="CB18" i="1"/>
  <c r="CA18" i="1"/>
  <c r="BX18" i="1"/>
  <c r="BW18" i="1"/>
  <c r="BT18" i="1"/>
  <c r="BS18" i="1"/>
  <c r="BP18" i="1"/>
  <c r="BO18" i="1"/>
  <c r="BL18" i="1"/>
  <c r="BK18" i="1"/>
  <c r="BH18" i="1"/>
  <c r="BG18" i="1"/>
  <c r="BD18" i="1"/>
  <c r="BC18" i="1"/>
  <c r="AZ18" i="1"/>
  <c r="AY18" i="1"/>
  <c r="AV18" i="1"/>
  <c r="AU18" i="1"/>
  <c r="AR18" i="1"/>
  <c r="AQ18" i="1"/>
  <c r="AN18" i="1"/>
  <c r="AM18" i="1"/>
  <c r="AJ18" i="1"/>
  <c r="AI18" i="1"/>
  <c r="AF18" i="1"/>
  <c r="AE18" i="1"/>
  <c r="AB18" i="1"/>
  <c r="AA18" i="1"/>
  <c r="X18" i="1"/>
  <c r="W18" i="1"/>
  <c r="T18" i="1"/>
  <c r="S18" i="1"/>
  <c r="P18" i="1"/>
  <c r="O18" i="1"/>
  <c r="L18" i="1"/>
  <c r="K18" i="1"/>
  <c r="H18" i="1"/>
  <c r="G18" i="1"/>
  <c r="D18" i="1"/>
  <c r="C18" i="1"/>
  <c r="CJ17" i="1"/>
  <c r="CI17" i="1"/>
  <c r="CF17" i="1"/>
  <c r="CE17" i="1"/>
  <c r="CB17" i="1"/>
  <c r="CA17" i="1"/>
  <c r="BX17" i="1"/>
  <c r="BW17" i="1"/>
  <c r="BT17" i="1"/>
  <c r="BS17" i="1"/>
  <c r="BP17" i="1"/>
  <c r="BO17" i="1"/>
  <c r="BL17" i="1"/>
  <c r="BK17" i="1"/>
  <c r="BH17" i="1"/>
  <c r="BG17" i="1"/>
  <c r="BD17" i="1"/>
  <c r="BC17" i="1"/>
  <c r="AZ17" i="1"/>
  <c r="AY17" i="1"/>
  <c r="AV17" i="1"/>
  <c r="AU17" i="1"/>
  <c r="AR17" i="1"/>
  <c r="AQ17" i="1"/>
  <c r="AN17" i="1"/>
  <c r="AM17" i="1"/>
  <c r="AJ17" i="1"/>
  <c r="AI17" i="1"/>
  <c r="AF17" i="1"/>
  <c r="AE17" i="1"/>
  <c r="AB17" i="1"/>
  <c r="AA17" i="1"/>
  <c r="X17" i="1"/>
  <c r="W17" i="1"/>
  <c r="T17" i="1"/>
  <c r="S17" i="1"/>
  <c r="P17" i="1"/>
  <c r="O17" i="1"/>
  <c r="L17" i="1"/>
  <c r="K17" i="1"/>
  <c r="H17" i="1"/>
  <c r="G17" i="1"/>
  <c r="D17" i="1"/>
  <c r="C17" i="1"/>
  <c r="CJ16" i="1"/>
  <c r="CI16" i="1"/>
  <c r="CF16" i="1"/>
  <c r="CE16" i="1"/>
  <c r="CB16" i="1"/>
  <c r="CA16" i="1"/>
  <c r="BX16" i="1"/>
  <c r="BW16" i="1"/>
  <c r="BT16" i="1"/>
  <c r="BS16" i="1"/>
  <c r="BP16" i="1"/>
  <c r="BO16" i="1"/>
  <c r="BL16" i="1"/>
  <c r="BK16" i="1"/>
  <c r="BH16" i="1"/>
  <c r="BG16" i="1"/>
  <c r="BD16" i="1"/>
  <c r="BC16" i="1"/>
  <c r="AZ16" i="1"/>
  <c r="AY16" i="1"/>
  <c r="AV16" i="1"/>
  <c r="AU16" i="1"/>
  <c r="AR16" i="1"/>
  <c r="AQ16" i="1"/>
  <c r="AN16" i="1"/>
  <c r="AM16" i="1"/>
  <c r="AJ16" i="1"/>
  <c r="AI16" i="1"/>
  <c r="AF16" i="1"/>
  <c r="AE16" i="1"/>
  <c r="AB16" i="1"/>
  <c r="AA16" i="1"/>
  <c r="X16" i="1"/>
  <c r="W16" i="1"/>
  <c r="T16" i="1"/>
  <c r="S16" i="1"/>
  <c r="P16" i="1"/>
  <c r="O16" i="1"/>
  <c r="L16" i="1"/>
  <c r="K16" i="1"/>
  <c r="H16" i="1"/>
  <c r="G16" i="1"/>
  <c r="D16" i="1"/>
  <c r="C16" i="1"/>
  <c r="CJ15" i="1"/>
  <c r="CI15" i="1"/>
  <c r="CF15" i="1"/>
  <c r="CE15" i="1"/>
  <c r="CB15" i="1"/>
  <c r="CA15" i="1"/>
  <c r="BX15" i="1"/>
  <c r="BW15" i="1"/>
  <c r="BT15" i="1"/>
  <c r="BS15" i="1"/>
  <c r="BP15" i="1"/>
  <c r="BO15" i="1"/>
  <c r="BL15" i="1"/>
  <c r="BK15" i="1"/>
  <c r="BH15" i="1"/>
  <c r="BG15" i="1"/>
  <c r="BD15" i="1"/>
  <c r="BC15" i="1"/>
  <c r="AZ15" i="1"/>
  <c r="AY15" i="1"/>
  <c r="AV15" i="1"/>
  <c r="AU15" i="1"/>
  <c r="AR15" i="1"/>
  <c r="AQ15" i="1"/>
  <c r="AN15" i="1"/>
  <c r="AM15" i="1"/>
  <c r="AJ15" i="1"/>
  <c r="AI15" i="1"/>
  <c r="AF15" i="1"/>
  <c r="AE15" i="1"/>
  <c r="AB15" i="1"/>
  <c r="AA15" i="1"/>
  <c r="X15" i="1"/>
  <c r="W15" i="1"/>
  <c r="T15" i="1"/>
  <c r="S15" i="1"/>
  <c r="P15" i="1"/>
  <c r="O15" i="1"/>
  <c r="L15" i="1"/>
  <c r="K15" i="1"/>
  <c r="H15" i="1"/>
  <c r="G15" i="1"/>
  <c r="D15" i="1"/>
  <c r="C15" i="1"/>
  <c r="CJ8" i="1"/>
  <c r="CI8" i="1"/>
  <c r="CF8" i="1"/>
  <c r="CE8" i="1"/>
  <c r="CB8" i="1"/>
  <c r="CA8" i="1"/>
  <c r="BX8" i="1"/>
  <c r="BW8" i="1"/>
  <c r="BT8" i="1"/>
  <c r="BS8" i="1"/>
  <c r="BP8" i="1"/>
  <c r="BO8" i="1"/>
  <c r="BL8" i="1"/>
  <c r="BK8" i="1"/>
  <c r="BH8" i="1"/>
  <c r="BG8" i="1"/>
  <c r="BD8" i="1"/>
  <c r="BC8" i="1"/>
  <c r="AZ8" i="1"/>
  <c r="AY8" i="1"/>
  <c r="AV8" i="1"/>
  <c r="AU8" i="1"/>
  <c r="AR8" i="1"/>
  <c r="AQ8" i="1"/>
  <c r="AN8" i="1"/>
  <c r="AM8" i="1"/>
  <c r="AJ8" i="1"/>
  <c r="AI8" i="1"/>
  <c r="AF8" i="1"/>
  <c r="AE8" i="1"/>
  <c r="AB8" i="1"/>
  <c r="AA8" i="1"/>
  <c r="X8" i="1"/>
  <c r="W8" i="1"/>
  <c r="T8" i="1"/>
  <c r="S8" i="1"/>
  <c r="P8" i="1"/>
  <c r="O8" i="1"/>
  <c r="L8" i="1"/>
  <c r="K8" i="1"/>
  <c r="H8" i="1"/>
  <c r="G8" i="1"/>
  <c r="D8" i="1"/>
  <c r="C8" i="1"/>
  <c r="CJ7" i="1"/>
  <c r="CI7" i="1"/>
  <c r="CF7" i="1"/>
  <c r="CE7" i="1"/>
  <c r="CB7" i="1"/>
  <c r="CA7" i="1"/>
  <c r="BX7" i="1"/>
  <c r="BW7" i="1"/>
  <c r="BT7" i="1"/>
  <c r="BS7" i="1"/>
  <c r="BP7" i="1"/>
  <c r="BO7" i="1"/>
  <c r="BL7" i="1"/>
  <c r="BK7" i="1"/>
  <c r="BH7" i="1"/>
  <c r="BG7" i="1"/>
  <c r="BD7" i="1"/>
  <c r="BC7" i="1"/>
  <c r="AZ7" i="1"/>
  <c r="AY7" i="1"/>
  <c r="AV7" i="1"/>
  <c r="AU7" i="1"/>
  <c r="AR7" i="1"/>
  <c r="AQ7" i="1"/>
  <c r="AN7" i="1"/>
  <c r="AM7" i="1"/>
  <c r="AJ7" i="1"/>
  <c r="AI7" i="1"/>
  <c r="AF7" i="1"/>
  <c r="AE7" i="1"/>
  <c r="AB7" i="1"/>
  <c r="AA7" i="1"/>
  <c r="X7" i="1"/>
  <c r="W7" i="1"/>
  <c r="T7" i="1"/>
  <c r="S7" i="1"/>
  <c r="P7" i="1"/>
  <c r="O7" i="1"/>
  <c r="L7" i="1"/>
  <c r="K7" i="1"/>
  <c r="H7" i="1"/>
  <c r="G7" i="1"/>
  <c r="D7" i="1"/>
  <c r="C7" i="1"/>
</calcChain>
</file>

<file path=xl/sharedStrings.xml><?xml version="1.0" encoding="utf-8"?>
<sst xmlns="http://schemas.openxmlformats.org/spreadsheetml/2006/main" count="6094" uniqueCount="1672">
  <si>
    <t>Velikost celkové báze:</t>
  </si>
  <si>
    <t>Televize</t>
  </si>
  <si>
    <t>age-65+</t>
  </si>
  <si>
    <t>A</t>
  </si>
  <si>
    <t>B</t>
  </si>
  <si>
    <t>C</t>
  </si>
  <si>
    <t>D</t>
  </si>
  <si>
    <t>E</t>
  </si>
  <si>
    <t>F</t>
  </si>
  <si>
    <t>Netflix</t>
  </si>
  <si>
    <t>Voyo</t>
  </si>
  <si>
    <t>Skylink</t>
  </si>
  <si>
    <t>Hbo</t>
  </si>
  <si>
    <t>Disney</t>
  </si>
  <si>
    <t>telly</t>
  </si>
  <si>
    <t>netflix</t>
  </si>
  <si>
    <t>hbo max</t>
  </si>
  <si>
    <t>disney+</t>
  </si>
  <si>
    <t>voyo</t>
  </si>
  <si>
    <t>paramou</t>
  </si>
  <si>
    <t>hbo</t>
  </si>
  <si>
    <t>disney</t>
  </si>
  <si>
    <t>internext</t>
  </si>
  <si>
    <t>O2 tv</t>
  </si>
  <si>
    <t>tmobile</t>
  </si>
  <si>
    <t>Youtube</t>
  </si>
  <si>
    <t>vojo</t>
  </si>
  <si>
    <t>O2</t>
  </si>
  <si>
    <t>T-mobile</t>
  </si>
  <si>
    <t>Vodafone</t>
  </si>
  <si>
    <t>Disney+</t>
  </si>
  <si>
    <t>skylink</t>
  </si>
  <si>
    <t>vodafone</t>
  </si>
  <si>
    <t>Lepší tv</t>
  </si>
  <si>
    <t>o2tv</t>
  </si>
  <si>
    <t>o2</t>
  </si>
  <si>
    <t>Nevím, asi nic</t>
  </si>
  <si>
    <t>upc</t>
  </si>
  <si>
    <t>t mobile</t>
  </si>
  <si>
    <t>disney *</t>
  </si>
  <si>
    <t>apple tv</t>
  </si>
  <si>
    <t>o2 TV</t>
  </si>
  <si>
    <t>youtube</t>
  </si>
  <si>
    <t>O2zv</t>
  </si>
  <si>
    <t>max</t>
  </si>
  <si>
    <t>amazon</t>
  </si>
  <si>
    <t>Max</t>
  </si>
  <si>
    <t>A než</t>
  </si>
  <si>
    <t>barandov</t>
  </si>
  <si>
    <t>Vodafone TV</t>
  </si>
  <si>
    <t>T mobile</t>
  </si>
  <si>
    <t>samnet</t>
  </si>
  <si>
    <t>0</t>
  </si>
  <si>
    <t>freesat</t>
  </si>
  <si>
    <t>disney plys</t>
  </si>
  <si>
    <t>skyshowtime</t>
  </si>
  <si>
    <t>disny +</t>
  </si>
  <si>
    <t>HBO</t>
  </si>
  <si>
    <t>wald dysney</t>
  </si>
  <si>
    <t>02</t>
  </si>
  <si>
    <t>O2 TV</t>
  </si>
  <si>
    <t>HBO MAX</t>
  </si>
  <si>
    <t>Sledovanitv</t>
  </si>
  <si>
    <t>mhbim</t>
  </si>
  <si>
    <t>dragon</t>
  </si>
  <si>
    <t>stream</t>
  </si>
  <si>
    <t>netlix</t>
  </si>
  <si>
    <t>vodagfone</t>
  </si>
  <si>
    <t>Vimeo</t>
  </si>
  <si>
    <t>net flix</t>
  </si>
  <si>
    <t>CT i vysílámí</t>
  </si>
  <si>
    <t>Stream</t>
  </si>
  <si>
    <t>Freesat</t>
  </si>
  <si>
    <t>LepšíTV</t>
  </si>
  <si>
    <t>t mobil</t>
  </si>
  <si>
    <t>O2tv</t>
  </si>
  <si>
    <t>RETE</t>
  </si>
  <si>
    <t>Tmob</t>
  </si>
  <si>
    <t>t-mobile</t>
  </si>
  <si>
    <t>Tmobil</t>
  </si>
  <si>
    <t>Vodafon</t>
  </si>
  <si>
    <t>Magenta</t>
  </si>
  <si>
    <t>skynet</t>
  </si>
  <si>
    <t>HBO Max</t>
  </si>
  <si>
    <t>lepšitv</t>
  </si>
  <si>
    <t>vodafon</t>
  </si>
  <si>
    <t>poda</t>
  </si>
  <si>
    <t>skyling</t>
  </si>
  <si>
    <t>sledovánítv</t>
  </si>
  <si>
    <t>amazonprime</t>
  </si>
  <si>
    <t>dis</t>
  </si>
  <si>
    <t>T-Mobile</t>
  </si>
  <si>
    <t>vodafz</t>
  </si>
  <si>
    <t>Disney channel</t>
  </si>
  <si>
    <t>o2 tv</t>
  </si>
  <si>
    <t>nej</t>
  </si>
  <si>
    <t>sledovanitv</t>
  </si>
  <si>
    <t>iprima</t>
  </si>
  <si>
    <t>Netfix</t>
  </si>
  <si>
    <t>Sky...</t>
  </si>
  <si>
    <t>iVysilani</t>
  </si>
  <si>
    <t>Canal+</t>
  </si>
  <si>
    <t>Telly</t>
  </si>
  <si>
    <t>O2TV</t>
  </si>
  <si>
    <t>S</t>
  </si>
  <si>
    <t>Spotiffy</t>
  </si>
  <si>
    <t>Poda</t>
  </si>
  <si>
    <t>Prime tv</t>
  </si>
  <si>
    <t>Kuki</t>
  </si>
  <si>
    <t>netflixx</t>
  </si>
  <si>
    <t>Sledovánítv</t>
  </si>
  <si>
    <t>prima plus</t>
  </si>
  <si>
    <t>novatv</t>
  </si>
  <si>
    <t>ups</t>
  </si>
  <si>
    <t>skailink</t>
  </si>
  <si>
    <t>Vodafone tv</t>
  </si>
  <si>
    <t>Stream.cz</t>
  </si>
  <si>
    <t>Youtube.com</t>
  </si>
  <si>
    <t>speed net</t>
  </si>
  <si>
    <t>poda ,</t>
  </si>
  <si>
    <t>UPC</t>
  </si>
  <si>
    <t>NETFLIX</t>
  </si>
  <si>
    <t>VOYO</t>
  </si>
  <si>
    <t>YOUTUBE</t>
  </si>
  <si>
    <t>nova</t>
  </si>
  <si>
    <t>primaplus</t>
  </si>
  <si>
    <t>YouTube</t>
  </si>
  <si>
    <t>Prime video</t>
  </si>
  <si>
    <t>SkyShowtime</t>
  </si>
  <si>
    <t>sledovani tv</t>
  </si>
  <si>
    <t>MAX</t>
  </si>
  <si>
    <t>ČT</t>
  </si>
  <si>
    <t>netrix</t>
  </si>
  <si>
    <t>youtu</t>
  </si>
  <si>
    <t>nej cz</t>
  </si>
  <si>
    <t>iVysílání</t>
  </si>
  <si>
    <t>Nevim</t>
  </si>
  <si>
    <t>Viki</t>
  </si>
  <si>
    <t>Dramacool</t>
  </si>
  <si>
    <t>Apple tv</t>
  </si>
  <si>
    <t>Prima</t>
  </si>
  <si>
    <t>Nova</t>
  </si>
  <si>
    <t>Warner Bros</t>
  </si>
  <si>
    <t>sledovanitv.cz</t>
  </si>
  <si>
    <t>seznam</t>
  </si>
  <si>
    <t>Vo</t>
  </si>
  <si>
    <t>disney +</t>
  </si>
  <si>
    <t>amazon prime</t>
  </si>
  <si>
    <t>nemám zájem o vysedávání u televize</t>
  </si>
  <si>
    <t>Nej.cz</t>
  </si>
  <si>
    <t>Seznam</t>
  </si>
  <si>
    <t>Prime</t>
  </si>
  <si>
    <t>sledování tv</t>
  </si>
  <si>
    <t>Sky link</t>
  </si>
  <si>
    <t>tely</t>
  </si>
  <si>
    <t>amazon prime video</t>
  </si>
  <si>
    <t>Lepší TV</t>
  </si>
  <si>
    <t>horizon go</t>
  </si>
  <si>
    <t>youtube premium</t>
  </si>
  <si>
    <t>T-MObile</t>
  </si>
  <si>
    <t>T Mobile</t>
  </si>
  <si>
    <t>nevím</t>
  </si>
  <si>
    <t>hero hero</t>
  </si>
  <si>
    <t>DVTV</t>
  </si>
  <si>
    <t>Youtu</t>
  </si>
  <si>
    <t>metronet</t>
  </si>
  <si>
    <t>Hulu</t>
  </si>
  <si>
    <t>ž</t>
  </si>
  <si>
    <t>Starnet</t>
  </si>
  <si>
    <t>Apple TV</t>
  </si>
  <si>
    <t>netfli</t>
  </si>
  <si>
    <t>net</t>
  </si>
  <si>
    <t>Hbo max</t>
  </si>
  <si>
    <t>Sledování tv</t>
  </si>
  <si>
    <t>Lepsi tv</t>
  </si>
  <si>
    <t>02tv</t>
  </si>
  <si>
    <t>strem</t>
  </si>
  <si>
    <t>Barandov</t>
  </si>
  <si>
    <t>hisense</t>
  </si>
  <si>
    <t>lepsitv</t>
  </si>
  <si>
    <t>kuki</t>
  </si>
  <si>
    <t>O2 TV, Voyo, netflix, hbo</t>
  </si>
  <si>
    <t>Dobruška net</t>
  </si>
  <si>
    <t>you tube</t>
  </si>
  <si>
    <t>netflx</t>
  </si>
  <si>
    <t>SAT</t>
  </si>
  <si>
    <t>youthube</t>
  </si>
  <si>
    <t>Telegram</t>
  </si>
  <si>
    <t>Skilink</t>
  </si>
  <si>
    <t>magenta</t>
  </si>
  <si>
    <t>magenta, voyo,prima+</t>
  </si>
  <si>
    <t>Ma</t>
  </si>
  <si>
    <t>Vojo</t>
  </si>
  <si>
    <t>HBO+</t>
  </si>
  <si>
    <t>tmonile</t>
  </si>
  <si>
    <t>Tmobile</t>
  </si>
  <si>
    <t>PODA</t>
  </si>
  <si>
    <t>Nordstream</t>
  </si>
  <si>
    <t>hbogo</t>
  </si>
  <si>
    <t>lepší tv</t>
  </si>
  <si>
    <t>tmobil</t>
  </si>
  <si>
    <t>Eurosport</t>
  </si>
  <si>
    <t>sony</t>
  </si>
  <si>
    <t>panasonic</t>
  </si>
  <si>
    <t>lg</t>
  </si>
  <si>
    <t>google</t>
  </si>
  <si>
    <t>T-mobil</t>
  </si>
  <si>
    <t>nevin</t>
  </si>
  <si>
    <t>uos</t>
  </si>
  <si>
    <t>sk</t>
  </si>
  <si>
    <t>skiling</t>
  </si>
  <si>
    <t>Disney +</t>
  </si>
  <si>
    <t>O2 ,T mobile</t>
  </si>
  <si>
    <t>Grape S.C</t>
  </si>
  <si>
    <t>Skylin</t>
  </si>
  <si>
    <t>orangetv</t>
  </si>
  <si>
    <t>appletv</t>
  </si>
  <si>
    <t>hulu</t>
  </si>
  <si>
    <t>srream</t>
  </si>
  <si>
    <t>seznam tv</t>
  </si>
  <si>
    <t>V</t>
  </si>
  <si>
    <t>sledujutv</t>
  </si>
  <si>
    <t>Lepsi</t>
  </si>
  <si>
    <t>T- mobile</t>
  </si>
  <si>
    <t>prima+</t>
  </si>
  <si>
    <t>Nebula</t>
  </si>
  <si>
    <t>VODAFONE</t>
  </si>
  <si>
    <t>SLEDOVANITV</t>
  </si>
  <si>
    <t>T-Mobile, vodafone,</t>
  </si>
  <si>
    <t>Netflix, HBO, Voyo, Pima+, iVysila</t>
  </si>
  <si>
    <t>disney plus</t>
  </si>
  <si>
    <t>amazon tv</t>
  </si>
  <si>
    <t>prime</t>
  </si>
  <si>
    <t>Nej TV</t>
  </si>
  <si>
    <t>starlink</t>
  </si>
  <si>
    <t>Nezajímám se o to</t>
  </si>
  <si>
    <t>Nevím,nevyznám se v t</t>
  </si>
  <si>
    <t>kodi</t>
  </si>
  <si>
    <t>ČT 24</t>
  </si>
  <si>
    <t>primavideo</t>
  </si>
  <si>
    <t>nej.cz</t>
  </si>
  <si>
    <t>voyo,disney chanel,</t>
  </si>
  <si>
    <t>samsung</t>
  </si>
  <si>
    <t>Netvflix</t>
  </si>
  <si>
    <t>vodafone tv</t>
  </si>
  <si>
    <t>moderntv</t>
  </si>
  <si>
    <t>sez</t>
  </si>
  <si>
    <t>Anet</t>
  </si>
  <si>
    <t>Metflix</t>
  </si>
  <si>
    <t>Skailnk</t>
  </si>
  <si>
    <t>lepší TV</t>
  </si>
  <si>
    <t>dysney</t>
  </si>
  <si>
    <t>nefrix</t>
  </si>
  <si>
    <t>Hero hero</t>
  </si>
  <si>
    <t>wia</t>
  </si>
  <si>
    <t>TV Vodafone</t>
  </si>
  <si>
    <t>Skyling</t>
  </si>
  <si>
    <t>dianey+</t>
  </si>
  <si>
    <t>Apple+</t>
  </si>
  <si>
    <t>nordic</t>
  </si>
  <si>
    <t>canal plus</t>
  </si>
  <si>
    <t>02 tv</t>
  </si>
  <si>
    <t>disney channel</t>
  </si>
  <si>
    <t>yoitube</t>
  </si>
  <si>
    <t>o2,</t>
  </si>
  <si>
    <t>HBO GO</t>
  </si>
  <si>
    <t>Disney plus</t>
  </si>
  <si>
    <t>Apple TV+</t>
  </si>
  <si>
    <t>Amazon</t>
  </si>
  <si>
    <t>čt</t>
  </si>
  <si>
    <t>prime video</t>
  </si>
  <si>
    <t>h</t>
  </si>
  <si>
    <t>cinema atream</t>
  </si>
  <si>
    <t>prima</t>
  </si>
  <si>
    <t>magenta tv</t>
  </si>
  <si>
    <t>TV magenta</t>
  </si>
  <si>
    <t>antik</t>
  </si>
  <si>
    <t>sledování TV</t>
  </si>
  <si>
    <t>Magneta tv</t>
  </si>
  <si>
    <t>hbo+</t>
  </si>
  <si>
    <t>Astra</t>
  </si>
  <si>
    <t>netf</t>
  </si>
  <si>
    <t>Timobail</t>
  </si>
  <si>
    <t>steam</t>
  </si>
  <si>
    <t>Forendors</t>
  </si>
  <si>
    <t>T-MOBILE</t>
  </si>
  <si>
    <t>sweet</t>
  </si>
  <si>
    <t>lepsiTV</t>
  </si>
  <si>
    <t>nej tv</t>
  </si>
  <si>
    <t>hbo netflix</t>
  </si>
  <si>
    <t>Vidafone</t>
  </si>
  <si>
    <t>ct</t>
  </si>
  <si>
    <t>Netflix, Voyo</t>
  </si>
  <si>
    <t>magenta TV</t>
  </si>
  <si>
    <t>ibg net</t>
  </si>
  <si>
    <t>Dysney</t>
  </si>
  <si>
    <t>LepsiTV</t>
  </si>
  <si>
    <t>hbomax</t>
  </si>
  <si>
    <t>Podas</t>
  </si>
  <si>
    <t>Vovo</t>
  </si>
  <si>
    <t>HBO max</t>
  </si>
  <si>
    <t>t mobile magenta</t>
  </si>
  <si>
    <t>ivysilani</t>
  </si>
  <si>
    <t>free sat</t>
  </si>
  <si>
    <t>antik tv</t>
  </si>
  <si>
    <t>starnet</t>
  </si>
  <si>
    <t>tn. cz</t>
  </si>
  <si>
    <t>lepsi.tv</t>
  </si>
  <si>
    <t>T-M</t>
  </si>
  <si>
    <t>skylkink</t>
  </si>
  <si>
    <t>česká</t>
  </si>
  <si>
    <t>Česká televize</t>
  </si>
  <si>
    <t>prima +</t>
  </si>
  <si>
    <t>cetin</t>
  </si>
  <si>
    <t>t- mobile,</t>
  </si>
  <si>
    <t>digi</t>
  </si>
  <si>
    <t>i prima</t>
  </si>
  <si>
    <t>Jon</t>
  </si>
  <si>
    <t>vodafon tv</t>
  </si>
  <si>
    <t>eta</t>
  </si>
  <si>
    <t>Nevzpomínám si</t>
  </si>
  <si>
    <t>NOva</t>
  </si>
  <si>
    <t>Prima COOL</t>
  </si>
  <si>
    <t>PRIMA COMEDY</t>
  </si>
  <si>
    <t>NOVA ACTION</t>
  </si>
  <si>
    <t>NOVA PLUS</t>
  </si>
  <si>
    <t>CT SPORT</t>
  </si>
  <si>
    <t>CT24</t>
  </si>
  <si>
    <t>CT1</t>
  </si>
  <si>
    <t>CT2</t>
  </si>
  <si>
    <t>Sky shoemwtimwm</t>
  </si>
  <si>
    <t>iVysilání</t>
  </si>
  <si>
    <t>UPS</t>
  </si>
  <si>
    <t>Skyshowtime</t>
  </si>
  <si>
    <t>Prime Amazon</t>
  </si>
  <si>
    <t>YouTube premium</t>
  </si>
  <si>
    <t>česká televize</t>
  </si>
  <si>
    <t>mornet</t>
  </si>
  <si>
    <t>twitch</t>
  </si>
  <si>
    <t>O2Tv</t>
  </si>
  <si>
    <t>žádné</t>
  </si>
  <si>
    <t>sprintel Proste</t>
  </si>
  <si>
    <t>selfnet</t>
  </si>
  <si>
    <t>vodafpne</t>
  </si>
  <si>
    <t>y</t>
  </si>
  <si>
    <t>Voda</t>
  </si>
  <si>
    <t>Sky</t>
  </si>
  <si>
    <t>tlapnet</t>
  </si>
  <si>
    <t>sport</t>
  </si>
  <si>
    <t>minimax</t>
  </si>
  <si>
    <t>nova fun</t>
  </si>
  <si>
    <t>Starlink</t>
  </si>
  <si>
    <t>kuky</t>
  </si>
  <si>
    <t>sky</t>
  </si>
  <si>
    <t>netdlix</t>
  </si>
  <si>
    <t>max, netflix, tv, o2</t>
  </si>
  <si>
    <t>huz</t>
  </si>
  <si>
    <t>anténa</t>
  </si>
  <si>
    <t>ct 1</t>
  </si>
  <si>
    <t>Paramount</t>
  </si>
  <si>
    <t>hv free</t>
  </si>
  <si>
    <t>tf net</t>
  </si>
  <si>
    <t>freeSAT</t>
  </si>
  <si>
    <t>Appletv</t>
  </si>
  <si>
    <t>Sledovanitv.cz</t>
  </si>
  <si>
    <t>hbGO</t>
  </si>
  <si>
    <t>lepsi TV</t>
  </si>
  <si>
    <t>i vysílání</t>
  </si>
  <si>
    <t>Sledovaní.c</t>
  </si>
  <si>
    <t>film +</t>
  </si>
  <si>
    <t>skyline</t>
  </si>
  <si>
    <t>wau</t>
  </si>
  <si>
    <t>joj</t>
  </si>
  <si>
    <t>deds</t>
  </si>
  <si>
    <t>Panasonic</t>
  </si>
  <si>
    <t>philips</t>
  </si>
  <si>
    <t>sledovaní</t>
  </si>
  <si>
    <t>Skylink, Vodafone,O2</t>
  </si>
  <si>
    <t>ne</t>
  </si>
  <si>
    <t>satt</t>
  </si>
  <si>
    <t>i Vysílání</t>
  </si>
  <si>
    <t>Skyl</t>
  </si>
  <si>
    <t>Jiskra</t>
  </si>
  <si>
    <t>rps net</t>
  </si>
  <si>
    <t>Prime TV</t>
  </si>
  <si>
    <t>hbo go</t>
  </si>
  <si>
    <t>Cc internet</t>
  </si>
  <si>
    <t>spotify</t>
  </si>
  <si>
    <t>rdl</t>
  </si>
  <si>
    <t>sledovaniTV</t>
  </si>
  <si>
    <t>seznam stream</t>
  </si>
  <si>
    <t>cez</t>
  </si>
  <si>
    <t>nova plus</t>
  </si>
  <si>
    <t>tv barrandov</t>
  </si>
  <si>
    <t>stream.cz</t>
  </si>
  <si>
    <t>kick</t>
  </si>
  <si>
    <t>cool</t>
  </si>
  <si>
    <t>NejTV</t>
  </si>
  <si>
    <t>Upc</t>
  </si>
  <si>
    <t>O2 tv,</t>
  </si>
  <si>
    <t>ČT (1,24,…)</t>
  </si>
  <si>
    <t>´rim</t>
  </si>
  <si>
    <t>Magenta TV</t>
  </si>
  <si>
    <t>Amazon Prime</t>
  </si>
  <si>
    <t>t-mobile tv</t>
  </si>
  <si>
    <t>Netflix, hbo, disney+, nova, prima, barran</t>
  </si>
  <si>
    <t>z celku</t>
  </si>
  <si>
    <t>Otevřená odpověď</t>
  </si>
  <si>
    <t>A B</t>
  </si>
  <si>
    <t>Bez odpovědi</t>
  </si>
  <si>
    <t>B C</t>
  </si>
  <si>
    <t>Otázku vidělo</t>
  </si>
  <si>
    <t>Nevyplněný dotazník</t>
  </si>
  <si>
    <t>Otázka nevidělo</t>
  </si>
  <si>
    <t>A jak často sledujete vysílání **televizních nebo video služeb** (na jakémkoliv přijímači včetně notebooku, klasické i třeba satelitní...)?
&lt;br&gt;&lt;br&gt;*Pokud vůbec, otázku přeskočte.*</t>
  </si>
  <si>
    <t>denně</t>
  </si>
  <si>
    <t>několikrát týdně</t>
  </si>
  <si>
    <t>několikrát měsíčně</t>
  </si>
  <si>
    <t>méně často</t>
  </si>
  <si>
    <t>Jaké všechny **typy vysílání** televize máte?</t>
  </si>
  <si>
    <t>klasické pozemní vysílání (anténa) - mám</t>
  </si>
  <si>
    <t>klasické pozemní vysílání (anténa) - mám, ale plánuji zrušit</t>
  </si>
  <si>
    <t>klasické pozemní vysílání (anténa) - nemám, ale plánuji</t>
  </si>
  <si>
    <t>klasické pozemní vysílání (anténa) - neplánuji</t>
  </si>
  <si>
    <t>satelitní televizi - mám</t>
  </si>
  <si>
    <t>satelitní televizi - mám, ale plánuji zrušit</t>
  </si>
  <si>
    <t>satelitní televizi - nemám, ale plánuji</t>
  </si>
  <si>
    <t>satelitní televizi - neplánuji</t>
  </si>
  <si>
    <t>kabelovou televizi - mám</t>
  </si>
  <si>
    <t>kabelovou televizi - mám, ale plánuji zrušit</t>
  </si>
  <si>
    <t>kabelovou televizi - nemám, ale plánuji</t>
  </si>
  <si>
    <t>kabelovou televizi - neplánuji</t>
  </si>
  <si>
    <t>internetovou televizi (IPTV, OTT) - mám</t>
  </si>
  <si>
    <t>internetovou televizi (IPTV, OTT) - mám, ale plánuji zrušit</t>
  </si>
  <si>
    <t>internetovou televizi (IPTV, OTT) - nemám, ale plánuji</t>
  </si>
  <si>
    <t>internetovou televizi (IPTV, OTT) - neplánuji</t>
  </si>
  <si>
    <t>streamovací služby (Netflix, Voyo...) - mám</t>
  </si>
  <si>
    <t>streamovací služby (Netflix, Voyo...) - mám, ale plánuji zrušit</t>
  </si>
  <si>
    <t>streamovací služby (Netflix, Voyo...) - nemám, ale plánuji</t>
  </si>
  <si>
    <t>streamovací služby (Netflix, Voyo...) - neplánuji</t>
  </si>
  <si>
    <t>mám - klasické pozemní vysílání (anténa)</t>
  </si>
  <si>
    <t>mám - satelitní televizi</t>
  </si>
  <si>
    <t>mám - kabelovou televizi</t>
  </si>
  <si>
    <t>mám - internetovou televizi (IPTV, OTT)</t>
  </si>
  <si>
    <t>mám - streamovací služby (Netflix, Voyo...)</t>
  </si>
  <si>
    <t>mám, ale plánuji zrušit - klasické pozemní vysílání (anténa)</t>
  </si>
  <si>
    <t>mám, ale plánuji zrušit - satelitní televizi</t>
  </si>
  <si>
    <t>mám, ale plánuji zrušit - kabelovou televizi</t>
  </si>
  <si>
    <t>mám, ale plánuji zrušit - internetovou televizi (IPTV, OTT)</t>
  </si>
  <si>
    <t>mám, ale plánuji zrušit - streamovací služby (Netflix, Voyo...)</t>
  </si>
  <si>
    <t>nemám, ale plánuji - klasické pozemní vysílání (anténa)</t>
  </si>
  <si>
    <t>nemám, ale plánuji - satelitní televizi</t>
  </si>
  <si>
    <t>nemám, ale plánuji - kabelovou televizi</t>
  </si>
  <si>
    <t>nemám, ale plánuji - internetovou televizi (IPTV, OTT)</t>
  </si>
  <si>
    <t>nemám, ale plánuji - streamovací služby (Netflix, Voyo...)</t>
  </si>
  <si>
    <t>neplánuji - klasické pozemní vysílání (anténa)</t>
  </si>
  <si>
    <t>neplánuji - satelitní televizi</t>
  </si>
  <si>
    <t>neplánuji - kabelovou televizi</t>
  </si>
  <si>
    <t>neplánuji - internetovou televizi (IPTV, OTT)</t>
  </si>
  <si>
    <t>neplánuji - streamovací služby (Netflix, Voyo...)</t>
  </si>
  <si>
    <t>Nyní se pobavíme o tom, jak to máte s využíváním **internetové televize**.</t>
  </si>
  <si>
    <t>Jdeme na to!</t>
  </si>
  <si>
    <t>Platíte si internetovou televizi?</t>
  </si>
  <si>
    <t>ano, platím</t>
  </si>
  <si>
    <t>ne, platí to za mě někdo jiný</t>
  </si>
  <si>
    <t>A kolik za internetovou televizi **platíte měsíčně**?
&lt;br&gt;&lt;br&gt;*Pokud platíte za více internetových televizí, uvěďte celkovou částku.*
&lt;br&gt;*Pokud máte internetovou televizi jako součást balíčku jiných služeb a nevíte, kolik stojí sama o sobě, tak otázku přeskočte.*</t>
  </si>
  <si>
    <t>do 200 Kč měsíčně</t>
  </si>
  <si>
    <t>201–300 Kč</t>
  </si>
  <si>
    <t>301–500 Kč</t>
  </si>
  <si>
    <t>501–700 Kč</t>
  </si>
  <si>
    <t>701–900 Kč</t>
  </si>
  <si>
    <t>901–1 000 Kč</t>
  </si>
  <si>
    <t>1 001–1 200 Kč</t>
  </si>
  <si>
    <t>1 201–1 400 Kč</t>
  </si>
  <si>
    <t>ještě víc</t>
  </si>
  <si>
    <t>Jak dlouho máte smlouvu s poskytovatelem internetové televize?
&lt;br&gt;&lt;br&gt;*Pokud nevíte, otázku přeskočte. *</t>
  </si>
  <si>
    <t>méně než rok</t>
  </si>
  <si>
    <t>rok až dva</t>
  </si>
  <si>
    <t>tři až čtyři roky</t>
  </si>
  <si>
    <t>déle než čtyři roky</t>
  </si>
  <si>
    <t>nemám smlouvu</t>
  </si>
  <si>
    <t>Měl jste někdy internetovou televizi (IPTV...)?</t>
  </si>
  <si>
    <t>Měl jsem ji déle než rok, ale už nemám.</t>
  </si>
  <si>
    <t>Měl jsem ji jen pár měsíců, ale už nemám.</t>
  </si>
  <si>
    <t>Nikdy jsem ji nezkoušel.</t>
  </si>
  <si>
    <t>**Odrazuje** vás od pořízení **internetové televize (IPTV)** něco z toho?
&lt;br&gt;&lt;br&gt; *Pokud nic z toho, otázku přeskočte.*</t>
  </si>
  <si>
    <t>malý výběr pořadů s tématy, která mě zajímají</t>
  </si>
  <si>
    <t>špatná kvalita vysílání nebo signálu</t>
  </si>
  <si>
    <t>složité nastavení nebo fungování</t>
  </si>
  <si>
    <t>smluvní závazky</t>
  </si>
  <si>
    <t>moc reklamy</t>
  </si>
  <si>
    <t>A **odrazuje** vás od pořízení **internetové televize (IPTV)** něco z toho?
&lt;br&gt;&lt;br&gt; *Pokud nic z toho, otázku přeskočte.*</t>
  </si>
  <si>
    <t>vysoká cena</t>
  </si>
  <si>
    <t>je to zbytečné</t>
  </si>
  <si>
    <t>nutnost mít stabilní internet</t>
  </si>
  <si>
    <t>moje televize to neumí</t>
  </si>
  <si>
    <t>malý výběr programů</t>
  </si>
  <si>
    <t>Představte si, že si vybíráte **poskytovatele internetové televize**. Co z toho je pro vás důležité?</t>
  </si>
  <si>
    <t>výhodná cena - naprosto klíčové</t>
  </si>
  <si>
    <t>výhodná cena - důležité</t>
  </si>
  <si>
    <t>výhodná cena - tak napůl</t>
  </si>
  <si>
    <t>výhodná cena - nedůležité</t>
  </si>
  <si>
    <t>funguje na více zařízeních (TV, telefon, tablet...) - naprosto klíčové</t>
  </si>
  <si>
    <t>funguje na více zařízeních (TV, telefon, tablet...) - důležité</t>
  </si>
  <si>
    <t>funguje na více zařízeních (TV, telefon, tablet...) - tak napůl</t>
  </si>
  <si>
    <t>funguje na více zařízeních (TV, telefon, tablet...) - nedůležité</t>
  </si>
  <si>
    <t>široký výběr kanálů - naprosto klíčové</t>
  </si>
  <si>
    <t>široký výběr kanálů - důležité</t>
  </si>
  <si>
    <t>široký výběr kanálů - tak napůl</t>
  </si>
  <si>
    <t>široký výběr kanálů - nedůležité</t>
  </si>
  <si>
    <t>kvalita přenosu a obrazu - naprosto klíčové</t>
  </si>
  <si>
    <t>kvalita přenosu a obrazu - důležité</t>
  </si>
  <si>
    <t>kvalita přenosu a obrazu - tak napůl</t>
  </si>
  <si>
    <t>kvalita přenosu a obrazu - nedůležité</t>
  </si>
  <si>
    <t>snadné ovládání - naprosto klíčové</t>
  </si>
  <si>
    <t>snadné ovládání - důležité</t>
  </si>
  <si>
    <t>snadné ovládání - tak napůl</t>
  </si>
  <si>
    <t>snadné ovládání - nedůležité</t>
  </si>
  <si>
    <t>možnost přeskakovat reklamy - naprosto klíčové</t>
  </si>
  <si>
    <t>možnost přeskakovat reklamy - důležité</t>
  </si>
  <si>
    <t>možnost přeskakovat reklamy - tak napůl</t>
  </si>
  <si>
    <t>možnost přeskakovat reklamy - nedůležité</t>
  </si>
  <si>
    <t>speciální kanály pro děti - naprosto klíčové</t>
  </si>
  <si>
    <t>speciální kanály pro děti - důležité</t>
  </si>
  <si>
    <t>speciální kanály pro děti - tak napůl</t>
  </si>
  <si>
    <t>speciální kanály pro děti - nedůležité</t>
  </si>
  <si>
    <t>exkluzivní sportovní obsah - naprosto klíčové</t>
  </si>
  <si>
    <t>exkluzivní sportovní obsah - důležité</t>
  </si>
  <si>
    <t>exkluzivní sportovní obsah - tak napůl</t>
  </si>
  <si>
    <t>exkluzivní sportovní obsah - nedůležité</t>
  </si>
  <si>
    <t>naprosto klíčové - výhodná cena</t>
  </si>
  <si>
    <t>naprosto klíčové - funguje na více zařízeních (TV, telefon, tablet...)</t>
  </si>
  <si>
    <t>naprosto klíčové - široký výběr kanálů</t>
  </si>
  <si>
    <t>naprosto klíčové - kvalita přenosu a obrazu</t>
  </si>
  <si>
    <t>naprosto klíčové - snadné ovládání</t>
  </si>
  <si>
    <t>naprosto klíčové - možnost přeskakovat reklamy</t>
  </si>
  <si>
    <t>naprosto klíčové - speciální kanály pro děti</t>
  </si>
  <si>
    <t>naprosto klíčové - exkluzivní sportovní obsah</t>
  </si>
  <si>
    <t>důležité - výhodná cena</t>
  </si>
  <si>
    <t>důležité - funguje na více zařízeních (TV, telefon, tablet...)</t>
  </si>
  <si>
    <t>důležité - široký výběr kanálů</t>
  </si>
  <si>
    <t>důležité - kvalita přenosu a obrazu</t>
  </si>
  <si>
    <t>důležité - snadné ovládání</t>
  </si>
  <si>
    <t>důležité - možnost přeskakovat reklamy</t>
  </si>
  <si>
    <t>důležité - speciální kanály pro děti</t>
  </si>
  <si>
    <t>důležité - exkluzivní sportovní obsah</t>
  </si>
  <si>
    <t>tak napůl - výhodná cena</t>
  </si>
  <si>
    <t>tak napůl - funguje na více zařízeních (TV, telefon, tablet...)</t>
  </si>
  <si>
    <t>tak napůl - široký výběr kanálů</t>
  </si>
  <si>
    <t>tak napůl - kvalita přenosu a obrazu</t>
  </si>
  <si>
    <t>tak napůl - snadné ovládání</t>
  </si>
  <si>
    <t>tak napůl - možnost přeskakovat reklamy</t>
  </si>
  <si>
    <t>tak napůl - speciální kanály pro děti</t>
  </si>
  <si>
    <t>tak napůl - exkluzivní sportovní obsah</t>
  </si>
  <si>
    <t>nedůležité - výhodná cena</t>
  </si>
  <si>
    <t>nedůležité - funguje na více zařízeních (TV, telefon, tablet...)</t>
  </si>
  <si>
    <t>nedůležité - široký výběr kanálů</t>
  </si>
  <si>
    <t>nedůležité - kvalita přenosu a obrazu</t>
  </si>
  <si>
    <t>nedůležité - snadné ovládání</t>
  </si>
  <si>
    <t>nedůležité - možnost přeskakovat reklamy</t>
  </si>
  <si>
    <t>nedůležité - speciální kanály pro děti</t>
  </si>
  <si>
    <t>nedůležité - exkluzivní sportovní obsah</t>
  </si>
  <si>
    <t>A myslíte si, že je obtížné sehnat takového **poskytovatele internetové televize**?</t>
  </si>
  <si>
    <t>za výhodnou cenu - snadné</t>
  </si>
  <si>
    <t>za výhodnou cenu - tak napůl</t>
  </si>
  <si>
    <t>za výhodnou cenu - složité</t>
  </si>
  <si>
    <t>za výhodnou cenu - neřeším to</t>
  </si>
  <si>
    <t>funguje na více zařízeních (TV, telefon, tablet...) - snadné</t>
  </si>
  <si>
    <t>funguje na více zařízeních (TV, telefon, tablet...) - složité</t>
  </si>
  <si>
    <t>funguje na více zařízeních (TV, telefon, tablet...) - neřeším to</t>
  </si>
  <si>
    <t>má široký výběr kanálů - snadné</t>
  </si>
  <si>
    <t>má široký výběr kanálů - tak napůl</t>
  </si>
  <si>
    <t>má široký výběr kanálů - složité</t>
  </si>
  <si>
    <t>má široký výběr kanálů - neřeším to</t>
  </si>
  <si>
    <t>má kvalitní přenos a obraz - snadné</t>
  </si>
  <si>
    <t>má kvalitní přenos a obraz - tak napůl</t>
  </si>
  <si>
    <t>má kvalitní přenos a obraz - složité</t>
  </si>
  <si>
    <t>má kvalitní přenos a obraz - neřeším to</t>
  </si>
  <si>
    <t>má snadné ovládání - snadné</t>
  </si>
  <si>
    <t>má snadné ovládání - tak napůl</t>
  </si>
  <si>
    <t>má snadné ovládání - složité</t>
  </si>
  <si>
    <t>má snadné ovládání - neřeším to</t>
  </si>
  <si>
    <t>má možnost přeskakovat reklamy - snadné</t>
  </si>
  <si>
    <t>má možnost přeskakovat reklamy - tak napůl</t>
  </si>
  <si>
    <t>má možnost přeskakovat reklamy - složité</t>
  </si>
  <si>
    <t>má možnost přeskakovat reklamy - neřeším to</t>
  </si>
  <si>
    <t>má speciální kanály pro děti - snadné</t>
  </si>
  <si>
    <t>má speciální kanály pro děti - tak napůl</t>
  </si>
  <si>
    <t>má speciální kanály pro děti - složité</t>
  </si>
  <si>
    <t>má speciální kanály pro děti - neřeším to</t>
  </si>
  <si>
    <t>má exkluzivní sportovní obsah - snadné</t>
  </si>
  <si>
    <t>má exkluzivní sportovní obsah - tak napůl</t>
  </si>
  <si>
    <t>má exkluzivní sportovní obsah - složité</t>
  </si>
  <si>
    <t>má exkluzivní sportovní obsah - neřeším to</t>
  </si>
  <si>
    <t>snadné - za výhodnou cenu</t>
  </si>
  <si>
    <t>snadné - funguje na více zařízeních (TV, telefon, tablet...)</t>
  </si>
  <si>
    <t>snadné - má široký výběr kanálů</t>
  </si>
  <si>
    <t>snadné - má kvalitní přenos a obraz</t>
  </si>
  <si>
    <t>snadné - má snadné ovládání</t>
  </si>
  <si>
    <t>snadné - má možnost přeskakovat reklamy</t>
  </si>
  <si>
    <t>snadné - má speciální kanály pro děti</t>
  </si>
  <si>
    <t>snadné - má exkluzivní sportovní obsah</t>
  </si>
  <si>
    <t>tak napůl - za výhodnou cenu</t>
  </si>
  <si>
    <t>tak napůl - má široký výběr kanálů</t>
  </si>
  <si>
    <t>tak napůl - má kvalitní přenos a obraz</t>
  </si>
  <si>
    <t>tak napůl - má snadné ovládání</t>
  </si>
  <si>
    <t>tak napůl - má možnost přeskakovat reklamy</t>
  </si>
  <si>
    <t>tak napůl - má speciální kanály pro děti</t>
  </si>
  <si>
    <t>tak napůl - má exkluzivní sportovní obsah</t>
  </si>
  <si>
    <t>složité - za výhodnou cenu</t>
  </si>
  <si>
    <t>složité - funguje na více zařízeních (TV, telefon, tablet...)</t>
  </si>
  <si>
    <t>složité - má široký výběr kanálů</t>
  </si>
  <si>
    <t>složité - má kvalitní přenos a obraz</t>
  </si>
  <si>
    <t>složité - má snadné ovládání</t>
  </si>
  <si>
    <t>složité - má možnost přeskakovat reklamy</t>
  </si>
  <si>
    <t>složité - má speciální kanály pro děti</t>
  </si>
  <si>
    <t>složité - má exkluzivní sportovní obsah</t>
  </si>
  <si>
    <t>neřeším to - za výhodnou cenu</t>
  </si>
  <si>
    <t>neřeším to - funguje na více zařízeních (TV, telefon, tablet...)</t>
  </si>
  <si>
    <t>neřeším to - má široký výběr kanálů</t>
  </si>
  <si>
    <t>neřeším to - má kvalitní přenos a obraz</t>
  </si>
  <si>
    <t>neřeším to - má snadné ovládání</t>
  </si>
  <si>
    <t>neřeším to - má možnost přeskakovat reklamy</t>
  </si>
  <si>
    <t>neřeším to - má speciální kanály pro děti</t>
  </si>
  <si>
    <t>neřeším to - má exkluzivní sportovní obsah</t>
  </si>
  <si>
    <t>Znáte značku **Telly** aspoň podle jména?</t>
  </si>
  <si>
    <t>ANO</t>
  </si>
  <si>
    <t>NE</t>
  </si>
  <si>
    <t>love</t>
  </si>
  <si>
    <t>Využíváme , široká nabídka , nízká cena</t>
  </si>
  <si>
    <t>smile</t>
  </si>
  <si>
    <t>znám jen podle názvu</t>
  </si>
  <si>
    <t>boring</t>
  </si>
  <si>
    <t>predrazeny hnus s mizernym ovladanim</t>
  </si>
  <si>
    <t xml:space="preserve">Sympatie </t>
  </si>
  <si>
    <t>Je kvalitní</t>
  </si>
  <si>
    <t xml:space="preserve">Název </t>
  </si>
  <si>
    <t>neutral</t>
  </si>
  <si>
    <t xml:space="preserve">Znám jen název. </t>
  </si>
  <si>
    <t>nevím co nabízí</t>
  </si>
  <si>
    <t xml:space="preserve">Jen podle jména. </t>
  </si>
  <si>
    <t>plno programů ,internet</t>
  </si>
  <si>
    <t>nemám zkušenosti</t>
  </si>
  <si>
    <t>dobré ovládání</t>
  </si>
  <si>
    <t>znam jen název</t>
  </si>
  <si>
    <t>neutrální</t>
  </si>
  <si>
    <t>anger</t>
  </si>
  <si>
    <t>Účelově blokují možnost otestovat si program během sportovních přenosů</t>
  </si>
  <si>
    <t xml:space="preserve">Měl jsem </t>
  </si>
  <si>
    <t>znám jen jméno</t>
  </si>
  <si>
    <t>dobrý</t>
  </si>
  <si>
    <t>Nejak mi nejsou sympatičtí</t>
  </si>
  <si>
    <t xml:space="preserve">Znám jen dle jména, nemám další zkušenosti </t>
  </si>
  <si>
    <t xml:space="preserve">Nemám osobní zkušenost </t>
  </si>
  <si>
    <t>Uživatelsky nepříjemná</t>
  </si>
  <si>
    <t xml:space="preserve">Neznámá </t>
  </si>
  <si>
    <t xml:space="preserve">Nemám zkušenost </t>
  </si>
  <si>
    <t>znám jen název</t>
  </si>
  <si>
    <t>nezajímavé</t>
  </si>
  <si>
    <t>volali mi ale nabídku poslat neumí</t>
  </si>
  <si>
    <t>Neznam ji dobre.</t>
  </si>
  <si>
    <t xml:space="preserve">Neutrální </t>
  </si>
  <si>
    <t>jen další propaganda, navíc placená</t>
  </si>
  <si>
    <t xml:space="preserve">Známá a bezproblémová firma. </t>
  </si>
  <si>
    <t xml:space="preserve">Nevím </t>
  </si>
  <si>
    <t>Slysel jsem dobre recenze</t>
  </si>
  <si>
    <t>stabilní</t>
  </si>
  <si>
    <t>Ještě jsem jí nevyzkouššel.</t>
  </si>
  <si>
    <t xml:space="preserve">Nemám </t>
  </si>
  <si>
    <t>Znám pouze jméno</t>
  </si>
  <si>
    <t>nemám zkušenost</t>
  </si>
  <si>
    <t>nezkoušel jsem</t>
  </si>
  <si>
    <t>Není to moc výběr kanálu, který bych chtěl sledovat. A jejich nabídka kanálu není dostatečná.</t>
  </si>
  <si>
    <t xml:space="preserve">Pry dobry, ale.nepouzivam </t>
  </si>
  <si>
    <t>Nic</t>
  </si>
  <si>
    <t xml:space="preserve">Nemam zkusenosti </t>
  </si>
  <si>
    <t>Super</t>
  </si>
  <si>
    <t xml:space="preserve">Špatná zkušenost </t>
  </si>
  <si>
    <t xml:space="preserve">Dobrý </t>
  </si>
  <si>
    <t>Neznám, ale asi ne pro mne (typem programu).</t>
  </si>
  <si>
    <t>Znam jen nazev</t>
  </si>
  <si>
    <t>Nemám zkušenost</t>
  </si>
  <si>
    <t xml:space="preserve">Jen nazev </t>
  </si>
  <si>
    <t>Znám jen název</t>
  </si>
  <si>
    <t>Vzdy si ji koupim jen kvuli zapasu UFC s Prochazkou. Jinak ma otresne uzivatelske prostredi</t>
  </si>
  <si>
    <t xml:space="preserve">Dobrá </t>
  </si>
  <si>
    <t xml:space="preserve">Nemám zkušenosti </t>
  </si>
  <si>
    <t xml:space="preserve">Jen jsem o ní slyšel </t>
  </si>
  <si>
    <t>Znam jen z reklamy</t>
  </si>
  <si>
    <t>priserna zkusenost</t>
  </si>
  <si>
    <t xml:space="preserve">Známý </t>
  </si>
  <si>
    <t xml:space="preserve">Zajímavé </t>
  </si>
  <si>
    <t xml:space="preserve">Špatný </t>
  </si>
  <si>
    <t>Využíval jsem na F1 a mma</t>
  </si>
  <si>
    <t xml:space="preserve">Kromě názvu neznám </t>
  </si>
  <si>
    <t>Neznám ji</t>
  </si>
  <si>
    <t xml:space="preserve">Známá značka </t>
  </si>
  <si>
    <t>žádný</t>
  </si>
  <si>
    <t>Nizsi kvalita obrazi</t>
  </si>
  <si>
    <t>levná?</t>
  </si>
  <si>
    <t>Ještě jsem nezkusil</t>
  </si>
  <si>
    <t xml:space="preserve">Nemám žádnou zkušenost </t>
  </si>
  <si>
    <t xml:space="preserve">Máme </t>
  </si>
  <si>
    <t>Znám z doslechu</t>
  </si>
  <si>
    <t>Drahá a ne velký výběr</t>
  </si>
  <si>
    <t>Drahé</t>
  </si>
  <si>
    <t xml:space="preserve">nevyzkoušeno
</t>
  </si>
  <si>
    <t>Jde to</t>
  </si>
  <si>
    <t>Nemam zkusenost</t>
  </si>
  <si>
    <t>Kladný pocit</t>
  </si>
  <si>
    <t>nic o ní nevím</t>
  </si>
  <si>
    <t xml:space="preserve">Znám jen název </t>
  </si>
  <si>
    <t xml:space="preserve">televize </t>
  </si>
  <si>
    <t xml:space="preserve">Neumím posoudit </t>
  </si>
  <si>
    <t>nemohu soudit, znám jen název</t>
  </si>
  <si>
    <t>je dražší a má méně programů než mám já</t>
  </si>
  <si>
    <t>Přerušoval se signál, zrušeno připojení</t>
  </si>
  <si>
    <t>to samé jako skyling</t>
  </si>
  <si>
    <t xml:space="preserve">Nevěřím této značce </t>
  </si>
  <si>
    <t>je skvělá</t>
  </si>
  <si>
    <t>Znam jen jmeno</t>
  </si>
  <si>
    <t xml:space="preserve">Znám a nemám </t>
  </si>
  <si>
    <t>Nemam zkusenosti, znam pouze nazev</t>
  </si>
  <si>
    <t xml:space="preserve">Normál </t>
  </si>
  <si>
    <t>jen jméno</t>
  </si>
  <si>
    <t>celkem slušný, hlavně cenově</t>
  </si>
  <si>
    <t>znám jenom podle jména</t>
  </si>
  <si>
    <t>Slovaci</t>
  </si>
  <si>
    <t>Znám jen podle jména</t>
  </si>
  <si>
    <t>Už jsem slyšel, nemám zkušenost</t>
  </si>
  <si>
    <t>drahé</t>
  </si>
  <si>
    <t>Jen vím že existuje</t>
  </si>
  <si>
    <t>rychlá aplikace</t>
  </si>
  <si>
    <t xml:space="preserve">Nic moc nabídka </t>
  </si>
  <si>
    <t>Znám jen název. Nemohu posoudit</t>
  </si>
  <si>
    <t>Nevadí me</t>
  </si>
  <si>
    <t>Super kvalitní</t>
  </si>
  <si>
    <t>Ke to náš smluvní partner 😁</t>
  </si>
  <si>
    <t xml:space="preserve">Bez zkušeností </t>
  </si>
  <si>
    <t>Nabízené služby jsou drahé. K takovému poskytovateli bych nechtěl jít.</t>
  </si>
  <si>
    <t>Neznam podrobnosti</t>
  </si>
  <si>
    <t>nic</t>
  </si>
  <si>
    <t xml:space="preserve">Nic moc </t>
  </si>
  <si>
    <t xml:space="preserve">Nepřehledná </t>
  </si>
  <si>
    <t>neumím posoudit</t>
  </si>
  <si>
    <t>Ponúka stabiln ý internet,120 programov,sledovanie na viacerých zariadeniach</t>
  </si>
  <si>
    <t xml:space="preserve">Nikdy jsem neměl </t>
  </si>
  <si>
    <t>Jednoduché zařízení</t>
  </si>
  <si>
    <t xml:space="preserve">Spokojenost </t>
  </si>
  <si>
    <t>A platíte si internetovou televizi **Telly**?
&lt;br&gt;&lt;br&gt; *Ať už pro sebe nebo pro někoho jiného.*</t>
  </si>
  <si>
    <t>Ano, platím.</t>
  </si>
  <si>
    <t>Ne, platí to za mě někdo jiný.</t>
  </si>
  <si>
    <t>Ne, neplatím ani nepoužívám.</t>
  </si>
  <si>
    <t>Znáte značku **Skylink** aspoň podle jména?</t>
  </si>
  <si>
    <t>Jako jo, ale občas špatný přenos a nekvalitní obraz</t>
  </si>
  <si>
    <t>nikdy jsem nemel nemuzu posoudit</t>
  </si>
  <si>
    <t xml:space="preserve">Mám </t>
  </si>
  <si>
    <t>Špatná kvalita</t>
  </si>
  <si>
    <t>Má zajímavý obsah</t>
  </si>
  <si>
    <t xml:space="preserve">Dobře </t>
  </si>
  <si>
    <t xml:space="preserve">Myslím, že jsou dobří. </t>
  </si>
  <si>
    <t>normal ale drahej</t>
  </si>
  <si>
    <t xml:space="preserve">Snadné ovládání </t>
  </si>
  <si>
    <t>bývala dobrá</t>
  </si>
  <si>
    <t>s tím jsem skončil</t>
  </si>
  <si>
    <t>Vyuzivam</t>
  </si>
  <si>
    <t>televize</t>
  </si>
  <si>
    <t>drahý</t>
  </si>
  <si>
    <t>kvalitní</t>
  </si>
  <si>
    <t>znám podle jména</t>
  </si>
  <si>
    <t>znám jen podle jména</t>
  </si>
  <si>
    <t xml:space="preserve">Používám </t>
  </si>
  <si>
    <t>libi semi</t>
  </si>
  <si>
    <t>asi v pohodě</t>
  </si>
  <si>
    <t xml:space="preserve">Drahý </t>
  </si>
  <si>
    <t>udělali na mne podraz a tak jsem u nich zrušil smlouvu</t>
  </si>
  <si>
    <t>nepoužívám to nemohu posoudit</t>
  </si>
  <si>
    <t>dobré, ale drahé</t>
  </si>
  <si>
    <t>nemám osobní zkušenost, ale je hodně využívána ostatními</t>
  </si>
  <si>
    <t>mám a stojí za ..... furt aktualizovat .chytím na tom jen základní 4 kanály-bída</t>
  </si>
  <si>
    <t>Fungující zákaznická podpora</t>
  </si>
  <si>
    <t xml:space="preserve">Mám ji a jsem spokojen </t>
  </si>
  <si>
    <t xml:space="preserve">Měl jsem , dobrá </t>
  </si>
  <si>
    <t>používám denně, naprostá spokojenost</t>
  </si>
  <si>
    <t>satelitní příjem</t>
  </si>
  <si>
    <t>Vím, že nabízejí televizi přes satelit, jinak nic.</t>
  </si>
  <si>
    <t>asi je dobrý</t>
  </si>
  <si>
    <t xml:space="preserve">Zajímavé pořady </t>
  </si>
  <si>
    <t>ok</t>
  </si>
  <si>
    <t>satelit</t>
  </si>
  <si>
    <t>Znám pouze z doslechu</t>
  </si>
  <si>
    <t>Využíváme a zatím sme spokojeni i když pořád zdražují</t>
  </si>
  <si>
    <t>Špatná zkušenost, měla jsem svůj satelit, který mi spoplatnili</t>
  </si>
  <si>
    <t>Sever</t>
  </si>
  <si>
    <t xml:space="preserve">Satelitní, nechci </t>
  </si>
  <si>
    <t>Špatná zkušenost</t>
  </si>
  <si>
    <t>Zrušil jsem</t>
  </si>
  <si>
    <t>ani nevím, možná dlouho zavedená značka</t>
  </si>
  <si>
    <t>problémůvé připojení</t>
  </si>
  <si>
    <t>Nevím o ní nic</t>
  </si>
  <si>
    <t>zachránili nám F1! ale předplatné nám už končí</t>
  </si>
  <si>
    <t>Znám z reklam</t>
  </si>
  <si>
    <t>Nevyhovoval mi</t>
  </si>
  <si>
    <t xml:space="preserve">Znam ale nemam </t>
  </si>
  <si>
    <t>Nevyužívám jejich služby, takže neznám nabídku.</t>
  </si>
  <si>
    <t>když prší nejde</t>
  </si>
  <si>
    <t>Velky vyber.</t>
  </si>
  <si>
    <t>Nemám osobní zkušenost</t>
  </si>
  <si>
    <t>špatná zkušenost</t>
  </si>
  <si>
    <t>Asi ok</t>
  </si>
  <si>
    <t>Něco mi to říká, ale nevím co to přesně je</t>
  </si>
  <si>
    <t>nemám osobní zkušenost</t>
  </si>
  <si>
    <t>samé poruchy</t>
  </si>
  <si>
    <t xml:space="preserve">Neznám </t>
  </si>
  <si>
    <t>Neutrálny pocit</t>
  </si>
  <si>
    <t xml:space="preserve">Drahé </t>
  </si>
  <si>
    <t>strašný</t>
  </si>
  <si>
    <t xml:space="preserve">Ucházející </t>
  </si>
  <si>
    <t>Měl jsem ho, ale teď v mém bytě nejde, nechytnu signál, musel bych bydlet ve vyšším poschodí.</t>
  </si>
  <si>
    <t>různé balíčky, ale pořád zdražují</t>
  </si>
  <si>
    <t>Nic moc o něm nevim</t>
  </si>
  <si>
    <t xml:space="preserve">Normální </t>
  </si>
  <si>
    <t>Dříve jsem služby využívala</t>
  </si>
  <si>
    <t>Znám ale moc o ní nevím...</t>
  </si>
  <si>
    <t>Pamatuji si, jak vyběhli se svými klienty ohledně dohodnuté ceny</t>
  </si>
  <si>
    <t>nemám ji, ale lidi si jí chválí</t>
  </si>
  <si>
    <t xml:space="preserve">Mela jsem a za me spokojenost </t>
  </si>
  <si>
    <t>Nezkusila jsem</t>
  </si>
  <si>
    <t xml:space="preserve">Kvalitní sluzby </t>
  </si>
  <si>
    <t>Dříve bylo zadarmo, nyní ceny jen rostou</t>
  </si>
  <si>
    <t>znam jen jmeno</t>
  </si>
  <si>
    <t>je ok</t>
  </si>
  <si>
    <t xml:space="preserve">Standardní </t>
  </si>
  <si>
    <t>vůbec neznám, ale lidičky kolem mně si stěžují na neustálé zdržování</t>
  </si>
  <si>
    <t>znám,</t>
  </si>
  <si>
    <t>dobrá</t>
  </si>
  <si>
    <t>Šmejd</t>
  </si>
  <si>
    <t>nemám přehled</t>
  </si>
  <si>
    <t>Nikdy jsem nemela</t>
  </si>
  <si>
    <t xml:space="preserve">Nemá příliš dobrou pověst </t>
  </si>
  <si>
    <t>podvedli mně</t>
  </si>
  <si>
    <t>Působí seriózně.</t>
  </si>
  <si>
    <t>Zní to hezky</t>
  </si>
  <si>
    <t>drahá</t>
  </si>
  <si>
    <t>Pro mě stačí</t>
  </si>
  <si>
    <t>Špatná zkušenost známych</t>
  </si>
  <si>
    <t>Má mnoho přátel</t>
  </si>
  <si>
    <t>super</t>
  </si>
  <si>
    <t>Drahá, dobré programy se musí doplácet</t>
  </si>
  <si>
    <t>nulová zkušenost, neznámá</t>
  </si>
  <si>
    <t xml:space="preserve">Nepoužívám </t>
  </si>
  <si>
    <t>Drahá a nekvalitní</t>
  </si>
  <si>
    <t>Dlouho už nic moc.</t>
  </si>
  <si>
    <t xml:space="preserve">Existuje </t>
  </si>
  <si>
    <t>Nemam zadnou zkusenost</t>
  </si>
  <si>
    <t>moc  neznám</t>
  </si>
  <si>
    <t>Snadná orientace</t>
  </si>
  <si>
    <t>Známá</t>
  </si>
  <si>
    <t>Nezajímá mě to</t>
  </si>
  <si>
    <t>Drahá blbost.</t>
  </si>
  <si>
    <t xml:space="preserve">Nemám ho rád </t>
  </si>
  <si>
    <t>Znam ji ale zkusenost s ni nemam</t>
  </si>
  <si>
    <t>Máme doma</t>
  </si>
  <si>
    <t>dobrý zkušenost, ale drahé</t>
  </si>
  <si>
    <t>Satelitni TV</t>
  </si>
  <si>
    <t>Mela jsem ho a byl docela dobry</t>
  </si>
  <si>
    <t>Nepoužívám</t>
  </si>
  <si>
    <t>podvodná, zneužívající závislosti zákazníka</t>
  </si>
  <si>
    <t>Super cena i kvalita</t>
  </si>
  <si>
    <t>mám satelit, co měl být doživotně zdarma, dnes platím 2500 za rok</t>
  </si>
  <si>
    <t>zlodeji co chteji stale vice za nic</t>
  </si>
  <si>
    <t xml:space="preserve">Nemám zkušenost, tudíž nemohu soudit, ale myslím, že cena je vysoká </t>
  </si>
  <si>
    <t xml:space="preserve">Znám jen podle názvu </t>
  </si>
  <si>
    <t>Dlouho na trhu</t>
  </si>
  <si>
    <t xml:space="preserve">Drahá </t>
  </si>
  <si>
    <t>ztamá</t>
  </si>
  <si>
    <t>Satelit</t>
  </si>
  <si>
    <t xml:space="preserve">Znám jen podle jména </t>
  </si>
  <si>
    <t>známí</t>
  </si>
  <si>
    <t>Nezazivne</t>
  </si>
  <si>
    <t xml:space="preserve">Běžný, spolehlivý </t>
  </si>
  <si>
    <t>moc ji neznám</t>
  </si>
  <si>
    <t>Používám ji</t>
  </si>
  <si>
    <t>Moc o ni nevim</t>
  </si>
  <si>
    <t>neutralni pohled, nemam zkusenosti</t>
  </si>
  <si>
    <t>neznám tolik</t>
  </si>
  <si>
    <t>vlastne ok</t>
  </si>
  <si>
    <t>výběr</t>
  </si>
  <si>
    <t xml:space="preserve">Stabilní </t>
  </si>
  <si>
    <t xml:space="preserve">Široká nabídka, dobrá cena </t>
  </si>
  <si>
    <t>sleduji anglickou ligu</t>
  </si>
  <si>
    <t>dobré programy</t>
  </si>
  <si>
    <t xml:space="preserve">Nevím co nabízí </t>
  </si>
  <si>
    <t xml:space="preserve">vím,že s ním byly problémy </t>
  </si>
  <si>
    <t xml:space="preserve">Mají rodiče </t>
  </si>
  <si>
    <t>Nemám s ním zkušenost</t>
  </si>
  <si>
    <t>změna na nemožnost přeskakovani reklam</t>
  </si>
  <si>
    <t xml:space="preserve">Satelitní vysílání </t>
  </si>
  <si>
    <t>Nemám s ní zkušenosti, nemohu objektivně hodnotit.</t>
  </si>
  <si>
    <t xml:space="preserve">Měli jsme a setoboxy dost často odcházeli </t>
  </si>
  <si>
    <t xml:space="preserve">Nevim </t>
  </si>
  <si>
    <t>Maly vyber</t>
  </si>
  <si>
    <t>jeden z mnoha</t>
  </si>
  <si>
    <t>Spatna kvalita obrazu, mizerny zák servis</t>
  </si>
  <si>
    <t>Funguje</t>
  </si>
  <si>
    <t>sloučení s vodafone,dobré ceny</t>
  </si>
  <si>
    <t>Zavedli poplatky, o kterých tvrdili, že nikdy nezavedou</t>
  </si>
  <si>
    <t xml:space="preserve">Ještě jsem nevyužil </t>
  </si>
  <si>
    <t>Nemam</t>
  </si>
  <si>
    <t>Internetovou televizi této značky má moje maminka a je sní spokojená.</t>
  </si>
  <si>
    <t>Dobrý výběr pořadů</t>
  </si>
  <si>
    <t>nevyužívám</t>
  </si>
  <si>
    <t>Mám, jsem spokojená</t>
  </si>
  <si>
    <t>zkoušel jsem</t>
  </si>
  <si>
    <t>Měli v rodině, nespokojenost</t>
  </si>
  <si>
    <t xml:space="preserve">používám </t>
  </si>
  <si>
    <t>Ráda bych zkusila</t>
  </si>
  <si>
    <t>Používám</t>
  </si>
  <si>
    <t>Nemám zkusenost</t>
  </si>
  <si>
    <t xml:space="preserve">Používám a jsem spokojená </t>
  </si>
  <si>
    <t>Ok</t>
  </si>
  <si>
    <t>Nikdy jsem ji nemel a ani nechtel</t>
  </si>
  <si>
    <t>Dražší, nic moc kanály</t>
  </si>
  <si>
    <t>Nvm</t>
  </si>
  <si>
    <t>spokojenost</t>
  </si>
  <si>
    <t>nevyuzivam</t>
  </si>
  <si>
    <t xml:space="preserve">Moc nevím </t>
  </si>
  <si>
    <t xml:space="preserve">Nepoužíváme </t>
  </si>
  <si>
    <t>nedodrželi smlouvu</t>
  </si>
  <si>
    <t>nezájem</t>
  </si>
  <si>
    <t>Znám pouze jméno, jinak nevím</t>
  </si>
  <si>
    <t>nemám jí,tak nevím</t>
  </si>
  <si>
    <t xml:space="preserve">Moc neznám </t>
  </si>
  <si>
    <t>předplacená karta, kdykoliv může dojít</t>
  </si>
  <si>
    <t xml:space="preserve">Moc jí neznám </t>
  </si>
  <si>
    <t xml:space="preserve">satelit </t>
  </si>
  <si>
    <t xml:space="preserve">Nevím,neumím posoudit 
</t>
  </si>
  <si>
    <t xml:space="preserve">Malý výběr </t>
  </si>
  <si>
    <t>Jsem spokojen</t>
  </si>
  <si>
    <t xml:space="preserve">je dražší </t>
  </si>
  <si>
    <t>Funguje bez problémů</t>
  </si>
  <si>
    <t>Menší výběr programů a někdy i špatný signál. Měla jsem ji 2x a pokaždé jsem ji vyměnila za jinou.</t>
  </si>
  <si>
    <t xml:space="preserve">Pamatuju kdysi dávno </t>
  </si>
  <si>
    <t>taky dobrý</t>
  </si>
  <si>
    <t>chtěli dvakrát jednu platbu</t>
  </si>
  <si>
    <t>znám jen z doslechu</t>
  </si>
  <si>
    <t>využívají rodiče</t>
  </si>
  <si>
    <t>ano dobré</t>
  </si>
  <si>
    <t xml:space="preserve">Jedna z mnoha </t>
  </si>
  <si>
    <t xml:space="preserve">Máme jej už několik let a jsem s nimi spokojená </t>
  </si>
  <si>
    <t xml:space="preserve">Výběr </t>
  </si>
  <si>
    <t>Meli jsme</t>
  </si>
  <si>
    <t>je drahy</t>
  </si>
  <si>
    <t>neutralni, jen znam jmeno</t>
  </si>
  <si>
    <t>Podvod na zákazníky, nedodržení slibů, stálé zdražování a arogantní komunikace.</t>
  </si>
  <si>
    <t>asi se jedná o satelitní příjem</t>
  </si>
  <si>
    <t>Nemám osobní zkušenost.</t>
  </si>
  <si>
    <t xml:space="preserve">Je to drahé </t>
  </si>
  <si>
    <t>Dobrá cena</t>
  </si>
  <si>
    <t>Màm</t>
  </si>
  <si>
    <t>Kvalita</t>
  </si>
  <si>
    <t xml:space="preserve">Zní dobře, ale moc o ní nevím </t>
  </si>
  <si>
    <t xml:space="preserve">Podvědomí o satelitní TV </t>
  </si>
  <si>
    <t>asi mají velký výběr, ale je placená</t>
  </si>
  <si>
    <t>Myslím, že je drahá.</t>
  </si>
  <si>
    <t>čím víc dražší</t>
  </si>
  <si>
    <t>Kvalitní obraz a zvuk.</t>
  </si>
  <si>
    <t>Neutral</t>
  </si>
  <si>
    <t>Vysilani</t>
  </si>
  <si>
    <t xml:space="preserve">Kdysi jsme myslím měli
</t>
  </si>
  <si>
    <t>Zdlouhavé</t>
  </si>
  <si>
    <t xml:space="preserve">Má ji švagr </t>
  </si>
  <si>
    <t xml:space="preserve">Široký výběr programů </t>
  </si>
  <si>
    <t>znám</t>
  </si>
  <si>
    <t>Nazev působí vznešeně, očekávám vysokou cenu.</t>
  </si>
  <si>
    <t xml:space="preserve">Obsah </t>
  </si>
  <si>
    <t>Široký výběr.</t>
  </si>
  <si>
    <t>MOC NEZNÁM</t>
  </si>
  <si>
    <t>měla jsem</t>
  </si>
  <si>
    <t>bylo to lepší kdysi</t>
  </si>
  <si>
    <t>znama znacka</t>
  </si>
  <si>
    <t>nespolehlivý</t>
  </si>
  <si>
    <t>Nicmoc</t>
  </si>
  <si>
    <t xml:space="preserve">Široký výběr kanálů </t>
  </si>
  <si>
    <t>Klasicka TV</t>
  </si>
  <si>
    <t xml:space="preserve">Ne moc známá </t>
  </si>
  <si>
    <t>užívám léta</t>
  </si>
  <si>
    <t>Široký výběr, kvalitni prenos</t>
  </si>
  <si>
    <t xml:space="preserve">Rodiče používají </t>
  </si>
  <si>
    <t>Nevím</t>
  </si>
  <si>
    <t>Máme a jsme spokojení</t>
  </si>
  <si>
    <t xml:space="preserve">Předražené </t>
  </si>
  <si>
    <t>široký výběr programů</t>
  </si>
  <si>
    <t xml:space="preserve">nám jen jméno, nepoužívám
</t>
  </si>
  <si>
    <t xml:space="preserve">Zastaralé a drahé </t>
  </si>
  <si>
    <t>vím o ní, ale neplánuji ji pořídit</t>
  </si>
  <si>
    <t>Vysoka cena</t>
  </si>
  <si>
    <t xml:space="preserve">Nedobrý pocit, pořád vypadával signál </t>
  </si>
  <si>
    <t>občas zapomínají informovat o změnách, ale nabídka je dobrá a lze přehrávat na více zařízení</t>
  </si>
  <si>
    <t xml:space="preserve">neznam dobře
</t>
  </si>
  <si>
    <t>Dobrá</t>
  </si>
  <si>
    <t xml:space="preserve">Znám jen z reklamy </t>
  </si>
  <si>
    <t>Jsou drahy</t>
  </si>
  <si>
    <t>žádnou ale znám</t>
  </si>
  <si>
    <t>mám ji dlouho</t>
  </si>
  <si>
    <t>Spokojenost</t>
  </si>
  <si>
    <t>Máme</t>
  </si>
  <si>
    <t>premier league a kvalitní nabídka cizojazyčných filmů</t>
  </si>
  <si>
    <t>Nemá mi co nabídnout.</t>
  </si>
  <si>
    <t xml:space="preserve">Špatné služby, špatný signál </t>
  </si>
  <si>
    <t>Původně bezplatně</t>
  </si>
  <si>
    <t>Satelt</t>
  </si>
  <si>
    <t xml:space="preserve">Reklama </t>
  </si>
  <si>
    <t xml:space="preserve">nic moc </t>
  </si>
  <si>
    <t xml:space="preserve">Pouze týden zpětného přehrávání </t>
  </si>
  <si>
    <t>neřešil jsem</t>
  </si>
  <si>
    <t xml:space="preserve">Na h...o má moje máti a furt za ní jezdím ji to ladit </t>
  </si>
  <si>
    <t>fajn</t>
  </si>
  <si>
    <t xml:space="preserve">Super </t>
  </si>
  <si>
    <t xml:space="preserve">Poměr cena-výkon </t>
  </si>
  <si>
    <t xml:space="preserve">Znám používám </t>
  </si>
  <si>
    <t>mám celkem špatné zkušenosti</t>
  </si>
  <si>
    <t>Náročné ukončení předplatného</t>
  </si>
  <si>
    <t>Satelitná digitálna televízia</t>
  </si>
  <si>
    <t xml:space="preserve">Nevím nemám zkušenosti </t>
  </si>
  <si>
    <t>Funguje  i na obytném vozu</t>
  </si>
  <si>
    <t>Fotbal</t>
  </si>
  <si>
    <t>Nepřehledné menu, nefunguje na xbox</t>
  </si>
  <si>
    <t>rychlost</t>
  </si>
  <si>
    <t>Nemám s nimi zkušenost</t>
  </si>
  <si>
    <t xml:space="preserve">Využívají prarodiče </t>
  </si>
  <si>
    <t xml:space="preserve">Exkluzivní obsah </t>
  </si>
  <si>
    <t>Bez zkušenosti</t>
  </si>
  <si>
    <t>Dobrý</t>
  </si>
  <si>
    <t>Nemám žadnou zkušenost</t>
  </si>
  <si>
    <t xml:space="preserve">Měli jsme a v pohodě </t>
  </si>
  <si>
    <t>Netuším, neorientuju se</t>
  </si>
  <si>
    <t xml:space="preserve">Co si pamatuju tak super ceny i funkčnost </t>
  </si>
  <si>
    <t>Gjj</t>
  </si>
  <si>
    <t xml:space="preserve">neznám jen sem viděl občas letáčky </t>
  </si>
  <si>
    <t>A platíte si internetovou televizi **Skylink**?
&lt;br&gt;&lt;br&gt; *Ať už pro sebe nebo pro někoho jiného.*</t>
  </si>
  <si>
    <t>Znáte značku **SledovaniTV** aspoň podle jména?</t>
  </si>
  <si>
    <t xml:space="preserve">Měl jsem a již nevyužíváme . </t>
  </si>
  <si>
    <t>Znám jen název.</t>
  </si>
  <si>
    <t>široká nabídka programů</t>
  </si>
  <si>
    <t>Podle jména</t>
  </si>
  <si>
    <t xml:space="preserve">Dobrý pocit </t>
  </si>
  <si>
    <t>přijemny pocit a zajima mě to</t>
  </si>
  <si>
    <t>nejlepší televize</t>
  </si>
  <si>
    <t>malý archiv, dobrá cena</t>
  </si>
  <si>
    <t>používám, jsem velmi spokojen</t>
  </si>
  <si>
    <t xml:space="preserve">Stálice </t>
  </si>
  <si>
    <t>Zábava za hubičku</t>
  </si>
  <si>
    <t xml:space="preserve">Nemam osobní zkušenost </t>
  </si>
  <si>
    <t>levná</t>
  </si>
  <si>
    <t>Neintuitivni ovladani. Vyssi cena.</t>
  </si>
  <si>
    <t>vysoký počet kanálů</t>
  </si>
  <si>
    <t>Pohoda</t>
  </si>
  <si>
    <t xml:space="preserve">Nejlepší poskytovatel </t>
  </si>
  <si>
    <t xml:space="preserve">Používám ,dobra cena </t>
  </si>
  <si>
    <t xml:space="preserve">Dobrá osobní zkušenost </t>
  </si>
  <si>
    <t>nevím jaké programy poskytuje</t>
  </si>
  <si>
    <t>ještě jsem nazkusil</t>
  </si>
  <si>
    <t xml:space="preserve">Taky byla v pohodě </t>
  </si>
  <si>
    <t>Využíváme a vše v pořádku.</t>
  </si>
  <si>
    <t>jako všechny ostatní</t>
  </si>
  <si>
    <t>Byla zdarma k tv</t>
  </si>
  <si>
    <t>Neměla jsem</t>
  </si>
  <si>
    <t xml:space="preserve">Využívám velmi zřídka </t>
  </si>
  <si>
    <t>Videl jsem to logo uz</t>
  </si>
  <si>
    <t xml:space="preserve">Neznám
</t>
  </si>
  <si>
    <t>ubohá nabídka a vysoká cena</t>
  </si>
  <si>
    <t xml:space="preserve">Obraz se sekal </t>
  </si>
  <si>
    <t>Zlepšují se (zdravím)</t>
  </si>
  <si>
    <t>Máme a jsme spokojeni</t>
  </si>
  <si>
    <t xml:space="preserve">Normálně </t>
  </si>
  <si>
    <t>Internetova tv</t>
  </si>
  <si>
    <t>Ujde</t>
  </si>
  <si>
    <t xml:space="preserve">Potkal jsem zakladatele na výstavě </t>
  </si>
  <si>
    <t>skvely vyber</t>
  </si>
  <si>
    <t>Zadny nepouzivam</t>
  </si>
  <si>
    <t>Vysoké ceny</t>
  </si>
  <si>
    <t>Znám jen podle jména.</t>
  </si>
  <si>
    <t xml:space="preserve">Ještě jsem nezkusil </t>
  </si>
  <si>
    <t>Nefunguje na mobilu</t>
  </si>
  <si>
    <t>Neseká se, přehledné</t>
  </si>
  <si>
    <t xml:space="preserve">Nevyužil jsem </t>
  </si>
  <si>
    <t>docela ujde</t>
  </si>
  <si>
    <t>vyhovuje mi</t>
  </si>
  <si>
    <t>Dobre</t>
  </si>
  <si>
    <t>bonus  od vodafone</t>
  </si>
  <si>
    <t xml:space="preserve">Laciné, nestabilní </t>
  </si>
  <si>
    <t>používám a stačí</t>
  </si>
  <si>
    <t xml:space="preserve">Průměr </t>
  </si>
  <si>
    <t>Mám ji zřízenou od svého poskytovatele internetu v rámci služby připojení. Občas ji používám.</t>
  </si>
  <si>
    <t>znám ji jen podle názvu</t>
  </si>
  <si>
    <t>zbytečně moc politiky</t>
  </si>
  <si>
    <t xml:space="preserve">Dodavatel naší iptv </t>
  </si>
  <si>
    <t>jen znam</t>
  </si>
  <si>
    <t>funguje za stabilního počasí</t>
  </si>
  <si>
    <t>Moc mi to nefungovalo</t>
  </si>
  <si>
    <t xml:space="preserve">Funguje bez problémů </t>
  </si>
  <si>
    <t>Levná, ale chybí programy</t>
  </si>
  <si>
    <t xml:space="preserve">Bez problémů </t>
  </si>
  <si>
    <t>sledovanie cez internet kdekolvek</t>
  </si>
  <si>
    <t>Dobré programové vybavení</t>
  </si>
  <si>
    <t>Používám a je super</t>
  </si>
  <si>
    <t>stabilita</t>
  </si>
  <si>
    <t xml:space="preserve">Široký výběr </t>
  </si>
  <si>
    <t>A platíte si internetovou televizi **SledovaniTV**?
&lt;br&gt;&lt;br&gt; *Ať už pro sebe nebo pro někoho jiného.*</t>
  </si>
  <si>
    <t>Znáte značku **O2 TV** aspoň podle jména?</t>
  </si>
  <si>
    <t xml:space="preserve">Pořád poslouchám od známých, jak nic nefunguje. </t>
  </si>
  <si>
    <t>Stálé výpadky, zrušeno</t>
  </si>
  <si>
    <t>Cena</t>
  </si>
  <si>
    <t>Aplikace O2 TV 2 stojí za prd</t>
  </si>
  <si>
    <t>nevím o nich nic</t>
  </si>
  <si>
    <t>nemam ji</t>
  </si>
  <si>
    <t>rozšířená, známá značka</t>
  </si>
  <si>
    <t>Dobré sportovní přenosy</t>
  </si>
  <si>
    <t>Je zajímavá</t>
  </si>
  <si>
    <t>Zrušil jsem před rokem</t>
  </si>
  <si>
    <t>Tu si platím</t>
  </si>
  <si>
    <t>mam hlavne kuli fotbalu</t>
  </si>
  <si>
    <t>Široký výběr programů, přeskakování reklam</t>
  </si>
  <si>
    <t>nesleduji co má za nabídku</t>
  </si>
  <si>
    <t>velký výběr programů</t>
  </si>
  <si>
    <t>Moc neznam</t>
  </si>
  <si>
    <t>Myslím si, že opravdu nic moc</t>
  </si>
  <si>
    <t>Moc neznám</t>
  </si>
  <si>
    <t>hodně sportu</t>
  </si>
  <si>
    <t>nemám ji, nemůžu posoudit</t>
  </si>
  <si>
    <t>velky vyběr filmu</t>
  </si>
  <si>
    <t>hezky modrá</t>
  </si>
  <si>
    <t>značka která funguje</t>
  </si>
  <si>
    <t>dobrý ale drahý</t>
  </si>
  <si>
    <t>Protože patří PPF</t>
  </si>
  <si>
    <t xml:space="preserve">Žádná zkušenost </t>
  </si>
  <si>
    <t>občas vypadne signál, ale spokojenost na sportovní kanály</t>
  </si>
  <si>
    <t>Nic moc, mam k dispozico k onzernetu, ale nevyuzivam</t>
  </si>
  <si>
    <t>Moc rád ji nemám</t>
  </si>
  <si>
    <t>O2 mi nepříjde jako moc férová společnost.</t>
  </si>
  <si>
    <t xml:space="preserve">lidé si stěžují
</t>
  </si>
  <si>
    <t>zrušil jsem-špatné</t>
  </si>
  <si>
    <t>málo programů</t>
  </si>
  <si>
    <t>Občas dělají koniny, ta nova aplikace je celkem hrozna, ale ten sport</t>
  </si>
  <si>
    <t>Kradli mi kredit již před lety</t>
  </si>
  <si>
    <t xml:space="preserve">Nefunguje </t>
  </si>
  <si>
    <t xml:space="preserve">Znám pouze z doslechu. Ale v budoucnu bych měl možná zájem </t>
  </si>
  <si>
    <t>Nevyužívám, ale znám</t>
  </si>
  <si>
    <t xml:space="preserve">Rozmanitost </t>
  </si>
  <si>
    <t xml:space="preserve">Jen znám </t>
  </si>
  <si>
    <t>Velký výběr kanálů, možnost nahrání</t>
  </si>
  <si>
    <t xml:space="preserve">Jen kvůli českému hokeji </t>
  </si>
  <si>
    <t>Není kompatibilní s naší televizí</t>
  </si>
  <si>
    <t>Nestabilní</t>
  </si>
  <si>
    <t xml:space="preserve">Ujde </t>
  </si>
  <si>
    <t>nesnáším O2 a nic z toho, co je s nimi jakkoli spojeno</t>
  </si>
  <si>
    <t>Zatím dobrý</t>
  </si>
  <si>
    <t>Mám, allle moc spokojená nejsem, stálle nějaké problémy...Hlavně se signálem</t>
  </si>
  <si>
    <t>Vnímám jen z reklam</t>
  </si>
  <si>
    <t>Nechci mám lepšího poskytovatele</t>
  </si>
  <si>
    <t>časté výpadky</t>
  </si>
  <si>
    <t>Drahá</t>
  </si>
  <si>
    <t>asi ok, nemám s ní zkušenosti</t>
  </si>
  <si>
    <t xml:space="preserve">Hodně poradu které se musí ještě doplatit </t>
  </si>
  <si>
    <t>velké zázemí</t>
  </si>
  <si>
    <t>Sráči :-)</t>
  </si>
  <si>
    <t xml:space="preserve">Normální televize. </t>
  </si>
  <si>
    <t>super, mám</t>
  </si>
  <si>
    <t>nezajímavé,drahé a poruchové</t>
  </si>
  <si>
    <t xml:space="preserve">Sportovní kanály, na všech zařízeních </t>
  </si>
  <si>
    <t>zkoušeli jsme kvui F1 - bez přechodu kompletních služeb k O2 je to nesmyslná raketa.</t>
  </si>
  <si>
    <t>Musím používat, nemam jinou možnost, ale vadí mi časté problemy</t>
  </si>
  <si>
    <t>Super sluzba</t>
  </si>
  <si>
    <t>fotbal</t>
  </si>
  <si>
    <t>Nestabilni, technicke problemy.</t>
  </si>
  <si>
    <t xml:space="preserve">Mám doma </t>
  </si>
  <si>
    <t>kvalitní v balíčku služeb</t>
  </si>
  <si>
    <t xml:space="preserve">Špatný signál </t>
  </si>
  <si>
    <t>Možný výhodný tarif s telefonem?</t>
  </si>
  <si>
    <t xml:space="preserve">Špatná kvalita </t>
  </si>
  <si>
    <t xml:space="preserve">Kvalita </t>
  </si>
  <si>
    <t>Asi dobry</t>
  </si>
  <si>
    <t xml:space="preserve">Je fajn, že se dají sledovat pořady až týden zpětně ale u důležitých programech vypadává </t>
  </si>
  <si>
    <t>Znam,ale blbe pokryti</t>
  </si>
  <si>
    <t>Nemám rád celé O2</t>
  </si>
  <si>
    <t>mám jakousi Modrou od O2,ale ještě jsem ji nepoužila</t>
  </si>
  <si>
    <t xml:space="preserve">Prý spokojenost u známých </t>
  </si>
  <si>
    <t>V minulosti vyuzito, dobrá zkusenost</t>
  </si>
  <si>
    <t xml:space="preserve">Vysoké ceny </t>
  </si>
  <si>
    <t xml:space="preserve">Sport </t>
  </si>
  <si>
    <t>Spatna zkusenost</t>
  </si>
  <si>
    <t>Mám</t>
  </si>
  <si>
    <t>velká stabilní firma</t>
  </si>
  <si>
    <t>"Usurpovali" přenosy sportovních utkání.</t>
  </si>
  <si>
    <t xml:space="preserve">hodně sportu, lza platit jen sportovní obsah
</t>
  </si>
  <si>
    <t xml:space="preserve">Olznam jen podle nazvu </t>
  </si>
  <si>
    <t xml:space="preserve">Neřeším </t>
  </si>
  <si>
    <t>Občas špatný signál</t>
  </si>
  <si>
    <t>jen jsme o ní slyšela</t>
  </si>
  <si>
    <t xml:space="preserve">Nikdy jsem neměla </t>
  </si>
  <si>
    <t>Zadny</t>
  </si>
  <si>
    <t>předražená</t>
  </si>
  <si>
    <t>Jejich program je široký. Ale nelíbí se mi že vypadává signál, i když počasí je v pohodě. Určitě by to chtělo rozšířit nabídku programu, aby to bylo pro diváka atraktivnější.</t>
  </si>
  <si>
    <t xml:space="preserve">Dobra slauzba </t>
  </si>
  <si>
    <t>Nic mě nenapadá</t>
  </si>
  <si>
    <t>normalni</t>
  </si>
  <si>
    <t>Nepouzivan</t>
  </si>
  <si>
    <t>velmi drahé, přítel invalida si zakoupil, stále se to zdražuje, stále nějaké reklamace a dohady,...já nikdy, nezajímá mně programová nabídka televizí, nikdy jsem nesledovala žádnou televizi, krom večerníčků v dětství, naštěstí mně to rodiče nikdy nenaučili, tak jako ani já své 4 děti.</t>
  </si>
  <si>
    <t xml:space="preserve">Znám jen jméno </t>
  </si>
  <si>
    <t>Nepouzivam</t>
  </si>
  <si>
    <t>používaám jií</t>
  </si>
  <si>
    <t xml:space="preserve">mám </t>
  </si>
  <si>
    <t>dobfá</t>
  </si>
  <si>
    <t xml:space="preserve">Drahé a mnohdy nefunkční </t>
  </si>
  <si>
    <t>funguje špatně</t>
  </si>
  <si>
    <t xml:space="preserve">Nelíbilo se mi jednání </t>
  </si>
  <si>
    <t xml:space="preserve">Nevím, asi dobrý </t>
  </si>
  <si>
    <t>na dovolené se hodí</t>
  </si>
  <si>
    <t>neutrál</t>
  </si>
  <si>
    <t>Mám O2 TV</t>
  </si>
  <si>
    <t>Neslyšela jsem o ní nic špatného.</t>
  </si>
  <si>
    <t>Ó dvě tů</t>
  </si>
  <si>
    <t>Nemam důvěru</t>
  </si>
  <si>
    <t>Hezká reklama v televizi</t>
  </si>
  <si>
    <t>výběr programů</t>
  </si>
  <si>
    <t xml:space="preserve">Nemá u nás pokrytí </t>
  </si>
  <si>
    <t>P4edražené</t>
  </si>
  <si>
    <t>Mám v rámci poskytování internetu, je super, má možnost pozdějšího přehrání pořadů a jdou přeskakovat reklamy.</t>
  </si>
  <si>
    <t>předražená a špatná nabídka</t>
  </si>
  <si>
    <t xml:space="preserve">Celkem mi vyhovuje </t>
  </si>
  <si>
    <t>Výborná</t>
  </si>
  <si>
    <t xml:space="preserve">Nevyužívám, nevim </t>
  </si>
  <si>
    <t>Programově není pro mne.</t>
  </si>
  <si>
    <t>nikdy jsem nepouzivala</t>
  </si>
  <si>
    <t>Podle mne nic moc a draha</t>
  </si>
  <si>
    <t>POUŽÍVÁM</t>
  </si>
  <si>
    <t>Nemám tuto TV..</t>
  </si>
  <si>
    <t>Neřeším to,nemám na to čas</t>
  </si>
  <si>
    <t>Je fajn. Tu využíváme.</t>
  </si>
  <si>
    <t xml:space="preserve">Fajn </t>
  </si>
  <si>
    <t>Asi nejlepší u nás...</t>
  </si>
  <si>
    <t>Mam a naprosta spokojenost</t>
  </si>
  <si>
    <t xml:space="preserve">Spolehlivé </t>
  </si>
  <si>
    <t>Nemàm zkušenost</t>
  </si>
  <si>
    <t>Komercni</t>
  </si>
  <si>
    <t>Mám ji</t>
  </si>
  <si>
    <t>Seka se obraz a rozostruje se</t>
  </si>
  <si>
    <t>nejhorší a nejdražší nabídka ve všech směrech</t>
  </si>
  <si>
    <t xml:space="preserve">Nemá zkušenost </t>
  </si>
  <si>
    <t>zase jen o penězích</t>
  </si>
  <si>
    <t>cim dal drazsi, hrozne ovladani a posledni verze se i zasekava</t>
  </si>
  <si>
    <t>Jo</t>
  </si>
  <si>
    <t>Myslím, že je výhodná pouze pro klienty O2</t>
  </si>
  <si>
    <t xml:space="preserve">Je nejdál s technologií </t>
  </si>
  <si>
    <t xml:space="preserve">Není pro zákazníky </t>
  </si>
  <si>
    <t xml:space="preserve">Nemám vyzkoušené </t>
  </si>
  <si>
    <t>od poskytovatele</t>
  </si>
  <si>
    <t>znamá</t>
  </si>
  <si>
    <t>Je fain.</t>
  </si>
  <si>
    <t xml:space="preserve">Sportovni přenosy </t>
  </si>
  <si>
    <t>Nic moc</t>
  </si>
  <si>
    <t xml:space="preserve">Tradiční, spolehlivost </t>
  </si>
  <si>
    <t xml:space="preserve">Celkem dobrý </t>
  </si>
  <si>
    <t>Nemám ji</t>
  </si>
  <si>
    <t>dobra nabidka</t>
  </si>
  <si>
    <t>také drahé</t>
  </si>
  <si>
    <t xml:space="preserve">Osobně neznám.... Jen název </t>
  </si>
  <si>
    <t>strašná aplikace</t>
  </si>
  <si>
    <t>ok appka</t>
  </si>
  <si>
    <t>nestabilní signál</t>
  </si>
  <si>
    <t xml:space="preserve">Zklamání </t>
  </si>
  <si>
    <t xml:space="preserve">Oblíbený </t>
  </si>
  <si>
    <t>Stále dražší a dražší předplatné, za stále menší nabídku.</t>
  </si>
  <si>
    <t>Jedna z mnoha</t>
  </si>
  <si>
    <t>Slšná aplikace, pro mě vyšší cena</t>
  </si>
  <si>
    <t>spousta programů</t>
  </si>
  <si>
    <t>známá</t>
  </si>
  <si>
    <t xml:space="preserve">Spokojený </t>
  </si>
  <si>
    <t xml:space="preserve">Drahé, Lagy </t>
  </si>
  <si>
    <t xml:space="preserve">Nevyuzivam </t>
  </si>
  <si>
    <t xml:space="preserve">Mel jsem, občasné výpadky jinak dobrý </t>
  </si>
  <si>
    <t xml:space="preserve">Asi bude super, ale nemám finanční prostředky </t>
  </si>
  <si>
    <t>Mám v mobilu</t>
  </si>
  <si>
    <t xml:space="preserve">Osvědčená značka </t>
  </si>
  <si>
    <t>normál</t>
  </si>
  <si>
    <t>Ještě jsem  ji neměla, ale přijde mi dražší než konkurence.</t>
  </si>
  <si>
    <t>jsem sní spokojen</t>
  </si>
  <si>
    <t xml:space="preserve">Má moje mamka a dost často vypadává </t>
  </si>
  <si>
    <t xml:space="preserve">Hodne programů </t>
  </si>
  <si>
    <t>Diroky vyber</t>
  </si>
  <si>
    <t>drahá,dobrá nabídka</t>
  </si>
  <si>
    <t>výhodné dohromady s mobilním tarifem</t>
  </si>
  <si>
    <t>Využívám a je to super.</t>
  </si>
  <si>
    <t xml:space="preserve">Nefunkčnost </t>
  </si>
  <si>
    <t>Tato značka mi je prostě sympatická.</t>
  </si>
  <si>
    <t xml:space="preserve"> S O2 nemam dobre zkusenosti</t>
  </si>
  <si>
    <t xml:space="preserve">Občas používám, ale nejsem z této služby zrovna unesený </t>
  </si>
  <si>
    <t>nepoužívámn</t>
  </si>
  <si>
    <t>Nevěřím jim</t>
  </si>
  <si>
    <t>vyšší cena</t>
  </si>
  <si>
    <t>spolehlivost</t>
  </si>
  <si>
    <t xml:space="preserve">zabehla znacka
</t>
  </si>
  <si>
    <t>uvažuji k vůli sportovním přenosům</t>
  </si>
  <si>
    <t>Hlavně sport</t>
  </si>
  <si>
    <t xml:space="preserve">Používám na mobilu </t>
  </si>
  <si>
    <t>Znám z reklamy</t>
  </si>
  <si>
    <t>Nemel jsem a nechtel</t>
  </si>
  <si>
    <t>Šmejdi</t>
  </si>
  <si>
    <t xml:space="preserve">Pěkný </t>
  </si>
  <si>
    <t>nemam zkušenost</t>
  </si>
  <si>
    <t>nevyuzivam O2</t>
  </si>
  <si>
    <t xml:space="preserve">Myslím že jsou dobří ale ne všude ještě mají dosah a i tak vám slibují, že to půjde </t>
  </si>
  <si>
    <t>nezajímá mne</t>
  </si>
  <si>
    <t>neznám, nemám žádný pocit</t>
  </si>
  <si>
    <t>mají ji děti</t>
  </si>
  <si>
    <t>Znám a jsou kvalitní</t>
  </si>
  <si>
    <t>Kvalitní a dráha sluzba</t>
  </si>
  <si>
    <t>nic moc</t>
  </si>
  <si>
    <t>nevyužívám, ale známi jsou spokojení</t>
  </si>
  <si>
    <t>Vím o ní.</t>
  </si>
  <si>
    <t xml:space="preserve">Má programy, které mám rád </t>
  </si>
  <si>
    <t xml:space="preserve">jedna z mnoha </t>
  </si>
  <si>
    <t xml:space="preserve">Měla </t>
  </si>
  <si>
    <t>občas není obraz, špatný dosah</t>
  </si>
  <si>
    <t>je dražší než mám já</t>
  </si>
  <si>
    <t>Dobrá a drahá</t>
  </si>
  <si>
    <t>Vysoká cena</t>
  </si>
  <si>
    <t>Jak kdy. Již od prosince mám nefunkční settopbox a doposud se jim to nepodařilo opravit. V servisu byl 3x v prodejně jsme to řešili 7x a pořád nejde.- Takže pocit spíš špatný</t>
  </si>
  <si>
    <t>Mám a je na prd</t>
  </si>
  <si>
    <t>Nemám</t>
  </si>
  <si>
    <t>celkem dobrá</t>
  </si>
  <si>
    <t>můj operátor</t>
  </si>
  <si>
    <t>jen z doslechu</t>
  </si>
  <si>
    <t>O2 jsou klasicky drahé</t>
  </si>
  <si>
    <t>široký záběr služeb</t>
  </si>
  <si>
    <t xml:space="preserve">moc drahá a mají pořad  nějaký výpadky </t>
  </si>
  <si>
    <t>Celkem to jde</t>
  </si>
  <si>
    <t>špatná kvalita a hrozné ceny</t>
  </si>
  <si>
    <t>Malo programu</t>
  </si>
  <si>
    <t>podle jména</t>
  </si>
  <si>
    <t xml:space="preserve">vyuzivam, nemam zadny problém </t>
  </si>
  <si>
    <t>Zdarma k internetu</t>
  </si>
  <si>
    <t>Věčně nefunguje</t>
  </si>
  <si>
    <t>Měla jsem</t>
  </si>
  <si>
    <t xml:space="preserve">Moc o ní nevím </t>
  </si>
  <si>
    <t xml:space="preserve">mám doma
</t>
  </si>
  <si>
    <t>Používáme</t>
  </si>
  <si>
    <t>znám jenom podle názvu, nevím, co se dá sledovat</t>
  </si>
  <si>
    <t>Velice špatné chování k zákazníkovi. Nikdy bych už od nich nic dobrovolně nekoupila.</t>
  </si>
  <si>
    <t>nemám z ní dobrý pocit</t>
  </si>
  <si>
    <t xml:space="preserve">Nejlepší </t>
  </si>
  <si>
    <t>Moc programu, drahe</t>
  </si>
  <si>
    <t>vyuzivam, spokojen</t>
  </si>
  <si>
    <t>Moc o tom nevím. Televize a internet.</t>
  </si>
  <si>
    <t>Je to takové moc sportovně založené a na to já úplně nejsem</t>
  </si>
  <si>
    <t>Přijde mi povědomá</t>
  </si>
  <si>
    <t xml:space="preserve">Má můj syn </t>
  </si>
  <si>
    <t>Stabilní internet</t>
  </si>
  <si>
    <t>nevyzkoušeno</t>
  </si>
  <si>
    <t>normal</t>
  </si>
  <si>
    <t>O2 pro mě není výhodný mobilní operátor, jinak značku znám jen podle názvu.</t>
  </si>
  <si>
    <t xml:space="preserve">Hodně programu,cena,filmy,zpětné sledování </t>
  </si>
  <si>
    <t xml:space="preserve">Barvy </t>
  </si>
  <si>
    <t xml:space="preserve">Nevyužívám, tak nevím </t>
  </si>
  <si>
    <t>Dle dostupných recenzí od známých.</t>
  </si>
  <si>
    <t>ASI DOBRÁ</t>
  </si>
  <si>
    <t>nepoužívám</t>
  </si>
  <si>
    <t>mají co zlepšovat</t>
  </si>
  <si>
    <t>mám a nejsem příliš spokojený</t>
  </si>
  <si>
    <t xml:space="preserve">Bída </t>
  </si>
  <si>
    <t>dost podražili</t>
  </si>
  <si>
    <t xml:space="preserve">asi bude dobrá </t>
  </si>
  <si>
    <t>Muze byt</t>
  </si>
  <si>
    <t>je super</t>
  </si>
  <si>
    <t>Katastrofa</t>
  </si>
  <si>
    <t xml:space="preserve">Sportovní přenosy </t>
  </si>
  <si>
    <t>OTV Sport</t>
  </si>
  <si>
    <t>Známá snad všude</t>
  </si>
  <si>
    <t>jen podle jména</t>
  </si>
  <si>
    <t>Nekvalitní, seká se, nulový zákaznický servis</t>
  </si>
  <si>
    <t xml:space="preserve">Pouze z reklamy </t>
  </si>
  <si>
    <t>Špatné zkušenosti.</t>
  </si>
  <si>
    <t>Exkluzivní fotbal, to je důležité, jinak obecně dobré a inovativní</t>
  </si>
  <si>
    <t>nikdy jsem nezkusil</t>
  </si>
  <si>
    <t xml:space="preserve">Kromě Primy v pohodě </t>
  </si>
  <si>
    <t>možnost spojení do balíčku</t>
  </si>
  <si>
    <t>Neberu od nich internet</t>
  </si>
  <si>
    <t>nemám rád, když specialista na telefony dělá kde co</t>
  </si>
  <si>
    <t xml:space="preserve">Dobré služby ale velmi drahé </t>
  </si>
  <si>
    <t>Jen podle jména</t>
  </si>
  <si>
    <t>o2 toho provozuje hodně</t>
  </si>
  <si>
    <t>žádná</t>
  </si>
  <si>
    <t>Nekoukám na tv</t>
  </si>
  <si>
    <t xml:space="preserve">Většinou funguje bezproblémově </t>
  </si>
  <si>
    <t>jedns z mnoha</t>
  </si>
  <si>
    <t>jsem spokojena</t>
  </si>
  <si>
    <t xml:space="preserve">Neměla jsem žádný problém </t>
  </si>
  <si>
    <t>špatná kvalita signálu</t>
  </si>
  <si>
    <t>mám</t>
  </si>
  <si>
    <t xml:space="preserve">Po aktualizaci na O2 TV 2 nefunguje jak má </t>
  </si>
  <si>
    <t xml:space="preserve">Široká nabídka </t>
  </si>
  <si>
    <t>liga mistrů</t>
  </si>
  <si>
    <t>Službu používám pro někoho jiného, ale do budoucna zvažuji zrušení.</t>
  </si>
  <si>
    <t xml:space="preserve">Nemám důvod si pořizovat </t>
  </si>
  <si>
    <t>vyděrači</t>
  </si>
  <si>
    <t>Snadná obsluha</t>
  </si>
  <si>
    <t xml:space="preserve">špatný signál </t>
  </si>
  <si>
    <t>Telefon</t>
  </si>
  <si>
    <t>pohoda</t>
  </si>
  <si>
    <t xml:space="preserve">Znam jen podle jména </t>
  </si>
  <si>
    <t xml:space="preserve">Neplanuji </t>
  </si>
  <si>
    <t>rozmanitá</t>
  </si>
  <si>
    <t>fuj</t>
  </si>
  <si>
    <t xml:space="preserve">mame a jsem spoko
</t>
  </si>
  <si>
    <t xml:space="preserve">To mám. A úplně jsem nasrany. Furt se to sere, same aktualizace a vysoká cena za hovno výběr programů </t>
  </si>
  <si>
    <t>Mám TV od nich, ale mohlo by být lepší</t>
  </si>
  <si>
    <t>nemám znam jen název</t>
  </si>
  <si>
    <t>Draha</t>
  </si>
  <si>
    <t>prý dobrá, ale osobní zkušenost nemám</t>
  </si>
  <si>
    <t>Sportovní přenosy jim moc nefungovaly, když jsem si to platil</t>
  </si>
  <si>
    <t>mizerná kvalita obrazu</t>
  </si>
  <si>
    <t>Máme 02 a jsme spokojeni</t>
  </si>
  <si>
    <t>Má hodně obsahu který mě zajímá</t>
  </si>
  <si>
    <t>Je to už 5G,rýchla Tv</t>
  </si>
  <si>
    <t>známé</t>
  </si>
  <si>
    <t xml:space="preserve">Měl jsem na měsíc a byl jsem spokojený </t>
  </si>
  <si>
    <t>Měla jsmem a bylo fajn</t>
  </si>
  <si>
    <t>Fortuna libri ga</t>
  </si>
  <si>
    <t xml:space="preserve">Využíváme na fotbalová utkání </t>
  </si>
  <si>
    <t>Tragédi, nová aplikace vůbec nefunguje</t>
  </si>
  <si>
    <t>široký výběr</t>
  </si>
  <si>
    <t>Nemá s nimi zkušenost</t>
  </si>
  <si>
    <t>široká nabídka pořadů</t>
  </si>
  <si>
    <t xml:space="preserve">Využívají rodiče </t>
  </si>
  <si>
    <t xml:space="preserve">Nemusím tuto firmu </t>
  </si>
  <si>
    <t>Nepouívám</t>
  </si>
  <si>
    <t>Nemám přímou zkušenost</t>
  </si>
  <si>
    <t>nijaký</t>
  </si>
  <si>
    <t xml:space="preserve">Mám ji a jsem s ní naprosto spokojený </t>
  </si>
  <si>
    <t>Celkove s O2 spatne</t>
  </si>
  <si>
    <t xml:space="preserve">Škoda že je to tolik drahé, jinak super služba </t>
  </si>
  <si>
    <t xml:space="preserve">Nemám to přímo já ale babička s dědou a jsou spokojený </t>
  </si>
  <si>
    <t>složité ovládání verze 2.0</t>
  </si>
  <si>
    <t xml:space="preserve">Po změně na o2tv 2 nic moc, aplikace se seká </t>
  </si>
  <si>
    <t>Zhjj</t>
  </si>
  <si>
    <t xml:space="preserve">táta používal, lehce zmatečné ovládání </t>
  </si>
  <si>
    <t>A platíte si internetovou televizi **O2 TV**?
&lt;br&gt;&lt;br&gt; *Ať už pro sebe nebo pro někoho jiného.*</t>
  </si>
  <si>
    <t>Znáte značku **Lepší.TV** aspoň podle jména?</t>
  </si>
  <si>
    <t>Dobry</t>
  </si>
  <si>
    <t>Měla jsem, špatně ovladatelné prostředí.</t>
  </si>
  <si>
    <t>Dobře se ovládá</t>
  </si>
  <si>
    <t>O té jsem slyšel</t>
  </si>
  <si>
    <t xml:space="preserve">Myslím že jsou dobří. </t>
  </si>
  <si>
    <t>hodně programů</t>
  </si>
  <si>
    <t>Občas se nejde prihlasit</t>
  </si>
  <si>
    <t xml:space="preserve">Má hodně programu </t>
  </si>
  <si>
    <t xml:space="preserve">znám jen značku </t>
  </si>
  <si>
    <t>asi zvolím tuto službu</t>
  </si>
  <si>
    <t>asi bude dobrá</t>
  </si>
  <si>
    <t xml:space="preserve">Není lepší </t>
  </si>
  <si>
    <t xml:space="preserve">Je fajn,ale nemám na ní čas </t>
  </si>
  <si>
    <t>Dobra cena. Intuitivni ovladani. Obcas horsi fungovani aplikace.</t>
  </si>
  <si>
    <t>dostatek kanálů a možnost zpětného přehrávání</t>
  </si>
  <si>
    <t xml:space="preserve">Nevlastním </t>
  </si>
  <si>
    <t xml:space="preserve">Je to dobry, levny </t>
  </si>
  <si>
    <t xml:space="preserve">Nemám zlusenost </t>
  </si>
  <si>
    <t xml:space="preserve">Není velký výběr </t>
  </si>
  <si>
    <t>špatná kvalita</t>
  </si>
  <si>
    <t>Tahle služba určitě není špatná, má nízkou cenu, ale nevím zda si tuhle značku pořídit, protože k tomu je potřeba setobox.</t>
  </si>
  <si>
    <t>moc neznám</t>
  </si>
  <si>
    <t>neznám,ale skĺyšela jsem</t>
  </si>
  <si>
    <t>měl jsem ale pořád se zdražovalo</t>
  </si>
  <si>
    <t xml:space="preserve">Mel jsem a byla v pohodě </t>
  </si>
  <si>
    <t>zajímavé ceny</t>
  </si>
  <si>
    <t>Mám informace od přátel, že je výborná</t>
  </si>
  <si>
    <t>Nevím,nezajímá mě to</t>
  </si>
  <si>
    <t>Neutrál. Nemám vlastní zkušenost.</t>
  </si>
  <si>
    <t>Znam a slyslel jsem ze nic moc</t>
  </si>
  <si>
    <t>vysoká cena vzhledem k nabídce</t>
  </si>
  <si>
    <t xml:space="preserve">Obraz se sekal, nekvalitní </t>
  </si>
  <si>
    <t>nepouzival jsem ani nemel tak nemam jak hodnotit</t>
  </si>
  <si>
    <t xml:space="preserve">Levná a celkem v pohodě </t>
  </si>
  <si>
    <t>funguje</t>
  </si>
  <si>
    <t>bežné</t>
  </si>
  <si>
    <t>Internetova rv</t>
  </si>
  <si>
    <t xml:space="preserve">Neláká mě </t>
  </si>
  <si>
    <t>dobrá nabídka</t>
  </si>
  <si>
    <t>Perfektní aplikace, dražší než současná co používám</t>
  </si>
  <si>
    <t>Znám pouze podle názvu. Nemám osobní zkušenost.</t>
  </si>
  <si>
    <t xml:space="preserve">Nikdy jsem nesledovala </t>
  </si>
  <si>
    <t>Mám, nevyužíváme</t>
  </si>
  <si>
    <t>docela spokojenost za tu cenu</t>
  </si>
  <si>
    <t xml:space="preserve">novacek
</t>
  </si>
  <si>
    <t>Seká se</t>
  </si>
  <si>
    <t>Neznam</t>
  </si>
  <si>
    <t>miluju ji</t>
  </si>
  <si>
    <t xml:space="preserve">Měla a nebyla spokojená </t>
  </si>
  <si>
    <t>mohu koukat zpětně</t>
  </si>
  <si>
    <t>dobrý výběr programů</t>
  </si>
  <si>
    <t>nemá moc programů</t>
  </si>
  <si>
    <t>V pohodě. Krátce jsem si předplatila a byla jsem docela spokojená.</t>
  </si>
  <si>
    <t>Měli jsme ji ...</t>
  </si>
  <si>
    <t xml:space="preserve">seká se
</t>
  </si>
  <si>
    <t>znám pouze  jméno</t>
  </si>
  <si>
    <t xml:space="preserve">Výběr kanálu,cena, sledování zpětně </t>
  </si>
  <si>
    <t>Líbí se</t>
  </si>
  <si>
    <t>Dle dostupných rezencí od známých</t>
  </si>
  <si>
    <t>znám jen podle jmšna</t>
  </si>
  <si>
    <t>Miluji ji</t>
  </si>
  <si>
    <t xml:space="preserve">Byli drazí </t>
  </si>
  <si>
    <t xml:space="preserve">Fajne </t>
  </si>
  <si>
    <t>dobrý název</t>
  </si>
  <si>
    <t xml:space="preserve">průměr </t>
  </si>
  <si>
    <t>moc o ní nevím</t>
  </si>
  <si>
    <t>Znam pouze nazev</t>
  </si>
  <si>
    <t xml:space="preserve">Dobrá zkušenost, jednoduché ovládání </t>
  </si>
  <si>
    <t xml:space="preserve">Mám a platím </t>
  </si>
  <si>
    <t>klasická nabídka</t>
  </si>
  <si>
    <t>Naprosto otřesná služba, která zneužila moje osobní data a předala je bez mého souhlasu třetím stranám.</t>
  </si>
  <si>
    <t>Značka</t>
  </si>
  <si>
    <t xml:space="preserve">Máme ji a je to dobrá služba </t>
  </si>
  <si>
    <t xml:space="preserve">Slabá nabídka programu </t>
  </si>
  <si>
    <t xml:space="preserve">Znám tuto značku </t>
  </si>
  <si>
    <t>nevím, znám jen podle jména</t>
  </si>
  <si>
    <t>Predpoklad lepšej kvality a široký výber programov</t>
  </si>
  <si>
    <t xml:space="preserve">Levné </t>
  </si>
  <si>
    <t>Nemam zkušenost</t>
  </si>
  <si>
    <t xml:space="preserve">Využívám </t>
  </si>
  <si>
    <t>Přijatelný obsah</t>
  </si>
  <si>
    <t>Sport</t>
  </si>
  <si>
    <t>Moji rodiče ji mají a nestěžují si</t>
  </si>
  <si>
    <t xml:space="preserve">Je na mé Samsung TV to je jediné co o ní vím </t>
  </si>
  <si>
    <t>A platíte si internetovou televizi **Lepší.TV**?
&lt;br&gt;&lt;br&gt; *Ať už pro sebe nebo pro někoho jiného.*</t>
  </si>
  <si>
    <t>screenout_1</t>
  </si>
  <si>
    <t>Vyloučeno</t>
  </si>
  <si>
    <t>Ke kterému poskytovateli internetové televize vám to nejvíce sedí?</t>
  </si>
  <si>
    <t>výhodná cena - o2tv</t>
  </si>
  <si>
    <t>výhodná cena - lepsitv</t>
  </si>
  <si>
    <t>výhodná cena - telly</t>
  </si>
  <si>
    <t>výhodná cena - skylink</t>
  </si>
  <si>
    <t>výhodná cena - sledovanitv</t>
  </si>
  <si>
    <t>výhodná cena - k žádnému z nich</t>
  </si>
  <si>
    <t>funguje na více zařízeních (TV, telefon, tablet...) - o2tv</t>
  </si>
  <si>
    <t>funguje na více zařízeních (TV, telefon, tablet...) - lepsitv</t>
  </si>
  <si>
    <t>funguje na více zařízeních (TV, telefon, tablet...) - telly</t>
  </si>
  <si>
    <t>funguje na více zařízeních (TV, telefon, tablet...) - skylink</t>
  </si>
  <si>
    <t>funguje na více zařízeních (TV, telefon, tablet...) - sledovanitv</t>
  </si>
  <si>
    <t>funguje na více zařízeních (TV, telefon, tablet...) - k žádnému z nich</t>
  </si>
  <si>
    <t>široký výběr kanálů - o2tv</t>
  </si>
  <si>
    <t>široký výběr kanálů - lepsitv</t>
  </si>
  <si>
    <t>široký výběr kanálů - telly</t>
  </si>
  <si>
    <t>široký výběr kanálů - skylink</t>
  </si>
  <si>
    <t>široký výběr kanálů - sledovanitv</t>
  </si>
  <si>
    <t>široký výběr kanálů - k žádnému z nich</t>
  </si>
  <si>
    <t>kvalita přenosu a obrazu - o2tv</t>
  </si>
  <si>
    <t>kvalita přenosu a obrazu - lepsitv</t>
  </si>
  <si>
    <t>kvalita přenosu a obrazu - telly</t>
  </si>
  <si>
    <t>kvalita přenosu a obrazu - skylink</t>
  </si>
  <si>
    <t>kvalita přenosu a obrazu - sledovanitv</t>
  </si>
  <si>
    <t>kvalita přenosu a obrazu - k žádnému z nich</t>
  </si>
  <si>
    <t>snadné ovládání - o2tv</t>
  </si>
  <si>
    <t>snadné ovládání - lepsitv</t>
  </si>
  <si>
    <t>snadné ovládání - telly</t>
  </si>
  <si>
    <t>snadné ovládání - skylink</t>
  </si>
  <si>
    <t>snadné ovládání - sledovanitv</t>
  </si>
  <si>
    <t>snadné ovládání - k žádnému z nich</t>
  </si>
  <si>
    <t>možnost přeskakovat reklamy - o2tv</t>
  </si>
  <si>
    <t>možnost přeskakovat reklamy - lepsitv</t>
  </si>
  <si>
    <t>možnost přeskakovat reklamy - telly</t>
  </si>
  <si>
    <t>možnost přeskakovat reklamy - skylink</t>
  </si>
  <si>
    <t>možnost přeskakovat reklamy - sledovanitv</t>
  </si>
  <si>
    <t>možnost přeskakovat reklamy - k žádnému z nich</t>
  </si>
  <si>
    <t>speciální kanály pro děti - o2tv</t>
  </si>
  <si>
    <t>speciální kanály pro děti - lepsitv</t>
  </si>
  <si>
    <t>speciální kanály pro děti - telly</t>
  </si>
  <si>
    <t>speciální kanály pro děti - skylink</t>
  </si>
  <si>
    <t>speciální kanály pro děti - sledovanitv</t>
  </si>
  <si>
    <t>speciální kanály pro děti - k žádnému z nich</t>
  </si>
  <si>
    <t>exkluzivní sportovní obsah - o2tv</t>
  </si>
  <si>
    <t>exkluzivní sportovní obsah - lepsitv</t>
  </si>
  <si>
    <t>exkluzivní sportovní obsah - telly</t>
  </si>
  <si>
    <t>exkluzivní sportovní obsah - skylink</t>
  </si>
  <si>
    <t>exkluzivní sportovní obsah - sledovanitv</t>
  </si>
  <si>
    <t>exkluzivní sportovní obsah - k žádnému z nich</t>
  </si>
  <si>
    <t>o2tv - výhodná cena</t>
  </si>
  <si>
    <t>o2tv - funguje na více zařízeních (TV, telefon, tablet...)</t>
  </si>
  <si>
    <t>o2tv - široký výběr kanálů</t>
  </si>
  <si>
    <t>o2tv - kvalita přenosu a obrazu</t>
  </si>
  <si>
    <t>o2tv - snadné ovládání</t>
  </si>
  <si>
    <t>o2tv - možnost přeskakovat reklamy</t>
  </si>
  <si>
    <t>o2tv - speciální kanály pro děti</t>
  </si>
  <si>
    <t>o2tv - exkluzivní sportovní obsah</t>
  </si>
  <si>
    <t>lepsitv - výhodná cena</t>
  </si>
  <si>
    <t>lepsitv - funguje na více zařízeních (TV, telefon, tablet...)</t>
  </si>
  <si>
    <t>lepsitv - široký výběr kanálů</t>
  </si>
  <si>
    <t>lepsitv - kvalita přenosu a obrazu</t>
  </si>
  <si>
    <t>lepsitv - snadné ovládání</t>
  </si>
  <si>
    <t>lepsitv - možnost přeskakovat reklamy</t>
  </si>
  <si>
    <t>lepsitv - speciální kanály pro děti</t>
  </si>
  <si>
    <t>lepsitv - exkluzivní sportovní obsah</t>
  </si>
  <si>
    <t>telly - výhodná cena</t>
  </si>
  <si>
    <t>telly - funguje na více zařízeních (TV, telefon, tablet...)</t>
  </si>
  <si>
    <t>telly - široký výběr kanálů</t>
  </si>
  <si>
    <t>telly - kvalita přenosu a obrazu</t>
  </si>
  <si>
    <t>telly - snadné ovládání</t>
  </si>
  <si>
    <t>telly - možnost přeskakovat reklamy</t>
  </si>
  <si>
    <t>telly - speciální kanály pro děti</t>
  </si>
  <si>
    <t>telly - exkluzivní sportovní obsah</t>
  </si>
  <si>
    <t>skylink - výhodná cena</t>
  </si>
  <si>
    <t>skylink - funguje na více zařízeních (TV, telefon, tablet...)</t>
  </si>
  <si>
    <t>skylink - široký výběr kanálů</t>
  </si>
  <si>
    <t>skylink - kvalita přenosu a obrazu</t>
  </si>
  <si>
    <t>skylink - snadné ovládání</t>
  </si>
  <si>
    <t>skylink - možnost přeskakovat reklamy</t>
  </si>
  <si>
    <t>skylink - speciální kanály pro děti</t>
  </si>
  <si>
    <t>skylink - exkluzivní sportovní obsah</t>
  </si>
  <si>
    <t>sledovanitv - výhodná cena</t>
  </si>
  <si>
    <t>sledovanitv - funguje na více zařízeních (TV, telefon, tablet...)</t>
  </si>
  <si>
    <t>sledovanitv - široký výběr kanálů</t>
  </si>
  <si>
    <t>sledovanitv - kvalita přenosu a obrazu</t>
  </si>
  <si>
    <t>sledovanitv - snadné ovládání</t>
  </si>
  <si>
    <t>sledovanitv - možnost přeskakovat reklamy</t>
  </si>
  <si>
    <t>sledovanitv - speciální kanály pro děti</t>
  </si>
  <si>
    <t>sledovanitv - exkluzivní sportovní obsah</t>
  </si>
  <si>
    <t>k žádnému z nich - výhodná cena</t>
  </si>
  <si>
    <t>k žádnému z nich - funguje na více zařízeních (TV, telefon, tablet...)</t>
  </si>
  <si>
    <t>k žádnému z nich - široký výběr kanálů</t>
  </si>
  <si>
    <t>k žádnému z nich - kvalita přenosu a obrazu</t>
  </si>
  <si>
    <t>k žádnému z nich - snadné ovládání</t>
  </si>
  <si>
    <t>k žádnému z nich - možnost přeskakovat reklamy</t>
  </si>
  <si>
    <t>k žádnému z nich - speciální kanály pro děti</t>
  </si>
  <si>
    <t>k žádnému z nich - exkluzivní sportovní obsah</t>
  </si>
  <si>
    <t>Znáte nějakou z těchto značek alespoň podle jména?</t>
  </si>
  <si>
    <t>hbo_max</t>
  </si>
  <si>
    <t>disneyplus</t>
  </si>
  <si>
    <t>žádnou z nich</t>
  </si>
  <si>
    <t>A platíte si nějakou z těchto streamovacích služeb?
&lt;br&gt;&lt;br&gt;*Ať už je platíte přímo vy, nebo někdo jiný.*</t>
  </si>
  <si>
    <t>Reprezentativní vzorek online populace.</t>
  </si>
  <si>
    <t>Sledují televizi alespoň měsíčně.</t>
  </si>
  <si>
    <t>Mají internetovou televizi (IPTV, OTT).</t>
  </si>
  <si>
    <t>Zvažují pořízení internetové televize (IPTV, OTT).</t>
  </si>
  <si>
    <t>muži</t>
  </si>
  <si>
    <t>ženy</t>
  </si>
  <si>
    <t>Lidé ve věku 18-24 let.</t>
  </si>
  <si>
    <t>Lidé ve věku 25-34 let.</t>
  </si>
  <si>
    <t>Lidé ve věku 35-44 let.</t>
  </si>
  <si>
    <t>Lidé ve věku 45-54 let.</t>
  </si>
  <si>
    <t>Lidé ve věku 55-64 let.</t>
  </si>
  <si>
    <t xml:space="preserve">Lidé bez maturity. </t>
  </si>
  <si>
    <t>Lidé se středoškolským vzděláním s maturitou.</t>
  </si>
  <si>
    <t>Lidé s vysokoškolským vzděláním.</t>
  </si>
  <si>
    <t>Lidé s nízkým příjmem.</t>
  </si>
  <si>
    <t>Lidé se středním příjmem.</t>
  </si>
  <si>
    <t>Lidé s vysokým příjmem.</t>
  </si>
  <si>
    <t>Velikost sídla do dvou tisíc obyvatel.</t>
  </si>
  <si>
    <t>Velikost sídla 2-10 tisíc obyvatel.</t>
  </si>
  <si>
    <t>Velikost sídla 10-50 tisíc obyvatel.</t>
  </si>
  <si>
    <t>Velikost sídla nad 50 tisíc obyvatel.</t>
  </si>
  <si>
    <t>Frekvenční tabulky</t>
  </si>
  <si>
    <t>Vítejte ve frekvenčních tabulkách! Tyto tabulky jsou nejdetailnějším výstupem z výzkumu. Naleznete v nich každou jednu otázku i odpověď, která v dotazníku byla. Současně uvidíte také kompletní výsledky za jednotlivé podskupiny.
Jednotlivé otázky jsou řazeny pod sebou a ve stejném pořadí, jak je respondenti vyplňovali. V případě otevřených otázek je do znění otázky vložen proklik, který vás přesune na list s verbatimy (přesným zněním odpovědí).
Níže naleznete návod, jak výsledky v tabulkách správně číst.</t>
  </si>
  <si>
    <t>Celková populace 
(kvóta)</t>
  </si>
  <si>
    <t>Lidé, co žijí na vesnici</t>
  </si>
  <si>
    <t>Kde bydlíte?</t>
  </si>
  <si>
    <t>v bytě</t>
  </si>
  <si>
    <t>v rodinném domě</t>
  </si>
  <si>
    <t>na ubytovně</t>
  </si>
  <si>
    <t>na koleji</t>
  </si>
  <si>
    <t>jinde</t>
  </si>
  <si>
    <t>Byt máte?</t>
  </si>
  <si>
    <t>pronajatý</t>
  </si>
  <si>
    <t>svůj vlastní (nebo mé rodiny)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</si>
</sst>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E67E2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9" fontId="0" fillId="0" borderId="0" xfId="0" applyNumberFormat="1"/>
    <xf numFmtId="0" fontId="3" fillId="0" borderId="0" xfId="0" applyFont="1"/>
    <xf numFmtId="9" fontId="0" fillId="4" borderId="0" xfId="0" applyNumberFormat="1" applyFill="1"/>
    <xf numFmtId="9" fontId="0" fillId="3" borderId="0" xfId="0" applyNumberFormat="1" applyFill="1"/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left" vertical="top" wrapText="1"/>
    </xf>
    <xf numFmtId="0" fontId="0" fillId="6" borderId="0" xfId="0" applyFill="1" applyAlignment="1">
      <alignment vertical="center" wrapText="1"/>
    </xf>
    <xf numFmtId="0" fontId="1" fillId="6" borderId="0" xfId="0" applyFont="1" applyFill="1"/>
    <xf numFmtId="0" fontId="3" fillId="6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3</xdr:row>
      <xdr:rowOff>57150</xdr:rowOff>
    </xdr:from>
    <xdr:to>
      <xdr:col>7</xdr:col>
      <xdr:colOff>390526</xdr:colOff>
      <xdr:row>7</xdr:row>
      <xdr:rowOff>47625</xdr:rowOff>
    </xdr:to>
    <xdr:sp macro="" textlink="">
      <xdr:nvSpPr>
        <xdr:cNvPr id="2" name="Řečová bublina: obdélníkový bublinový popisek se zakulacenými rohy 1">
          <a:extLst>
            <a:ext uri="{FF2B5EF4-FFF2-40B4-BE49-F238E27FC236}">
              <a16:creationId xmlns:a16="http://schemas.microsoft.com/office/drawing/2014/main" id="{E3B4213A-BB35-4343-A67A-593A2B101233}"/>
            </a:ext>
          </a:extLst>
        </xdr:cNvPr>
        <xdr:cNvSpPr/>
      </xdr:nvSpPr>
      <xdr:spPr>
        <a:xfrm>
          <a:off x="2085975" y="2247900"/>
          <a:ext cx="4051301" cy="727075"/>
        </a:xfrm>
        <a:prstGeom prst="wedgeRoundRectCallout">
          <a:avLst>
            <a:gd name="adj1" fmla="val 66355"/>
            <a:gd name="adj2" fmla="val 53639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V</a:t>
          </a:r>
          <a:r>
            <a:rPr lang="cs-CZ" sz="1100" baseline="0"/>
            <a:t> tabulkách jsou vedle sebe umístěna jednotlivá třídění. O jaké třídění se jedná je vždy napsáno nahoře v oranžové buňce. První třídění je obvykle za celkovou populaci.</a:t>
          </a:r>
          <a:endParaRPr lang="cs-CZ" sz="1100"/>
        </a:p>
      </xdr:txBody>
    </xdr:sp>
    <xdr:clientData/>
  </xdr:twoCellAnchor>
  <xdr:twoCellAnchor>
    <xdr:from>
      <xdr:col>0</xdr:col>
      <xdr:colOff>266701</xdr:colOff>
      <xdr:row>8</xdr:row>
      <xdr:rowOff>264585</xdr:rowOff>
    </xdr:from>
    <xdr:to>
      <xdr:col>5</xdr:col>
      <xdr:colOff>209551</xdr:colOff>
      <xdr:row>10</xdr:row>
      <xdr:rowOff>152401</xdr:rowOff>
    </xdr:to>
    <xdr:sp macro="" textlink="">
      <xdr:nvSpPr>
        <xdr:cNvPr id="3" name="Řečová bublina: obdélníkový bublinový popisek se zakulacenými rohy 2">
          <a:extLst>
            <a:ext uri="{FF2B5EF4-FFF2-40B4-BE49-F238E27FC236}">
              <a16:creationId xmlns:a16="http://schemas.microsoft.com/office/drawing/2014/main" id="{F9F77485-5173-48C7-BED3-09083B49F943}"/>
            </a:ext>
          </a:extLst>
        </xdr:cNvPr>
        <xdr:cNvSpPr/>
      </xdr:nvSpPr>
      <xdr:spPr>
        <a:xfrm>
          <a:off x="266701" y="3376085"/>
          <a:ext cx="3149600" cy="605366"/>
        </a:xfrm>
        <a:prstGeom prst="wedgeRoundRectCallout">
          <a:avLst>
            <a:gd name="adj1" fmla="val 57438"/>
            <a:gd name="adj2" fmla="val 40981"/>
            <a:gd name="adj3" fmla="val 16667"/>
          </a:avLst>
        </a:prstGeom>
        <a:solidFill>
          <a:schemeClr val="accent3">
            <a:lumMod val="40000"/>
            <a:lumOff val="60000"/>
          </a:scheme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V zeleném</a:t>
          </a:r>
          <a:r>
            <a:rPr lang="cs-CZ" sz="1100" baseline="0"/>
            <a:t> řádku je vždy uvedeno znění otázky tak, jak ji respondent viděl v dotazníku.</a:t>
          </a:r>
          <a:endParaRPr lang="cs-CZ" sz="1100"/>
        </a:p>
      </xdr:txBody>
    </xdr:sp>
    <xdr:clientData/>
  </xdr:twoCellAnchor>
  <xdr:twoCellAnchor>
    <xdr:from>
      <xdr:col>0</xdr:col>
      <xdr:colOff>266701</xdr:colOff>
      <xdr:row>11</xdr:row>
      <xdr:rowOff>57150</xdr:rowOff>
    </xdr:from>
    <xdr:to>
      <xdr:col>5</xdr:col>
      <xdr:colOff>209551</xdr:colOff>
      <xdr:row>14</xdr:row>
      <xdr:rowOff>63500</xdr:rowOff>
    </xdr:to>
    <xdr:sp macro="" textlink="">
      <xdr:nvSpPr>
        <xdr:cNvPr id="4" name="Řečová bublina: obdélníkový bublinový popisek se zakulacenými rohy 3">
          <a:extLst>
            <a:ext uri="{FF2B5EF4-FFF2-40B4-BE49-F238E27FC236}">
              <a16:creationId xmlns:a16="http://schemas.microsoft.com/office/drawing/2014/main" id="{2307C750-D9D5-43F0-AF2E-D2DA13C72A1B}"/>
            </a:ext>
          </a:extLst>
        </xdr:cNvPr>
        <xdr:cNvSpPr/>
      </xdr:nvSpPr>
      <xdr:spPr>
        <a:xfrm>
          <a:off x="266701" y="4070350"/>
          <a:ext cx="3149600" cy="558800"/>
        </a:xfrm>
        <a:prstGeom prst="wedgeRoundRectCallout">
          <a:avLst>
            <a:gd name="adj1" fmla="val 76546"/>
            <a:gd name="adj2" fmla="val -15881"/>
            <a:gd name="adj3" fmla="val 16667"/>
          </a:avLst>
        </a:prstGeom>
        <a:solidFill>
          <a:schemeClr val="bg1">
            <a:lumMod val="95000"/>
          </a:scheme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Pod zněním</a:t>
          </a:r>
          <a:r>
            <a:rPr lang="cs-CZ" sz="1100" baseline="0"/>
            <a:t> otázky jsou uvedeny možnosti odpovědí.</a:t>
          </a:r>
          <a:endParaRPr lang="cs-CZ" sz="1100"/>
        </a:p>
      </xdr:txBody>
    </xdr:sp>
    <xdr:clientData/>
  </xdr:twoCellAnchor>
  <xdr:twoCellAnchor>
    <xdr:from>
      <xdr:col>0</xdr:col>
      <xdr:colOff>266701</xdr:colOff>
      <xdr:row>15</xdr:row>
      <xdr:rowOff>28574</xdr:rowOff>
    </xdr:from>
    <xdr:to>
      <xdr:col>5</xdr:col>
      <xdr:colOff>209551</xdr:colOff>
      <xdr:row>23</xdr:row>
      <xdr:rowOff>31750</xdr:rowOff>
    </xdr:to>
    <xdr:sp macro="" textlink="">
      <xdr:nvSpPr>
        <xdr:cNvPr id="5" name="Řečová bublina: obdélníkový bublinový popisek se zakulacenými rohy 4">
          <a:extLst>
            <a:ext uri="{FF2B5EF4-FFF2-40B4-BE49-F238E27FC236}">
              <a16:creationId xmlns:a16="http://schemas.microsoft.com/office/drawing/2014/main" id="{D7CDE199-0BE4-4221-A304-BD8CDA53DC3E}"/>
            </a:ext>
          </a:extLst>
        </xdr:cNvPr>
        <xdr:cNvSpPr/>
      </xdr:nvSpPr>
      <xdr:spPr>
        <a:xfrm>
          <a:off x="266701" y="4778374"/>
          <a:ext cx="3149600" cy="1476376"/>
        </a:xfrm>
        <a:prstGeom prst="wedgeRoundRectCallout">
          <a:avLst>
            <a:gd name="adj1" fmla="val 60302"/>
            <a:gd name="adj2" fmla="val -18585"/>
            <a:gd name="adj3" fmla="val 16667"/>
          </a:avLst>
        </a:prstGeom>
        <a:solidFill>
          <a:srgbClr val="FDF1D3"/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Zde</a:t>
          </a:r>
          <a:r>
            <a:rPr lang="cs-CZ" sz="1100" baseline="0"/>
            <a:t> je uveden počet respondentů, kteří danou otázku viděli. Tuto otázku viděli všichni.</a:t>
          </a:r>
        </a:p>
        <a:p>
          <a:pPr algn="l"/>
          <a:endParaRPr lang="cs-CZ" sz="1100" baseline="0"/>
        </a:p>
        <a:p>
          <a:pPr algn="l"/>
          <a:r>
            <a:rPr lang="cs-CZ" sz="1100" baseline="0"/>
            <a:t>Otázku níže viděli pouze lidé, co žijí v bytě (byla pod filtrem), proto je u ní počet respondentů jen 878.</a:t>
          </a:r>
          <a:endParaRPr lang="cs-CZ" sz="1100"/>
        </a:p>
      </xdr:txBody>
    </xdr:sp>
    <xdr:clientData/>
  </xdr:twoCellAnchor>
  <xdr:twoCellAnchor>
    <xdr:from>
      <xdr:col>5</xdr:col>
      <xdr:colOff>571500</xdr:colOff>
      <xdr:row>27</xdr:row>
      <xdr:rowOff>47623</xdr:rowOff>
    </xdr:from>
    <xdr:to>
      <xdr:col>6</xdr:col>
      <xdr:colOff>1714500</xdr:colOff>
      <xdr:row>37</xdr:row>
      <xdr:rowOff>52915</xdr:rowOff>
    </xdr:to>
    <xdr:sp macro="" textlink="">
      <xdr:nvSpPr>
        <xdr:cNvPr id="6" name="Řečová bublina: obdélníkový bublinový popisek se zakulacenými rohy 5">
          <a:extLst>
            <a:ext uri="{FF2B5EF4-FFF2-40B4-BE49-F238E27FC236}">
              <a16:creationId xmlns:a16="http://schemas.microsoft.com/office/drawing/2014/main" id="{8A5562EA-207D-4E0C-BF58-727505167C18}"/>
            </a:ext>
          </a:extLst>
        </xdr:cNvPr>
        <xdr:cNvSpPr/>
      </xdr:nvSpPr>
      <xdr:spPr>
        <a:xfrm>
          <a:off x="3778250" y="7007223"/>
          <a:ext cx="1784350" cy="1846792"/>
        </a:xfrm>
        <a:prstGeom prst="wedgeRoundRectCallout">
          <a:avLst>
            <a:gd name="adj1" fmla="val 69903"/>
            <a:gd name="adj2" fmla="val -107391"/>
            <a:gd name="adj3" fmla="val 16667"/>
          </a:avLst>
        </a:prstGeom>
        <a:solidFill>
          <a:schemeClr val="accent5">
            <a:lumMod val="20000"/>
            <a:lumOff val="80000"/>
            <a:alpha val="60000"/>
          </a:scheme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Modrý sloupec</a:t>
          </a:r>
          <a:r>
            <a:rPr lang="cs-CZ" sz="1100" baseline="0"/>
            <a:t> ukazuje absolutní počet. Tedy kolik přesně lidí zvolilo konkrétní odpověď</a:t>
          </a:r>
        </a:p>
        <a:p>
          <a:pPr algn="l"/>
          <a:endParaRPr lang="cs-CZ" sz="1100" baseline="0"/>
        </a:p>
        <a:p>
          <a:pPr algn="l"/>
          <a:r>
            <a:rPr lang="cs-CZ" sz="1100" b="1" baseline="0"/>
            <a:t>Jak to číst?</a:t>
          </a:r>
          <a:br>
            <a:rPr lang="cs-CZ" sz="1100" baseline="0"/>
          </a:br>
          <a:r>
            <a:rPr lang="cs-CZ" sz="1100" baseline="0"/>
            <a:t>441 lidí ze vzorku žije v pronajatém bytě.</a:t>
          </a:r>
          <a:endParaRPr lang="cs-CZ" sz="1100"/>
        </a:p>
      </xdr:txBody>
    </xdr:sp>
    <xdr:clientData/>
  </xdr:twoCellAnchor>
  <xdr:twoCellAnchor>
    <xdr:from>
      <xdr:col>7</xdr:col>
      <xdr:colOff>19050</xdr:colOff>
      <xdr:row>27</xdr:row>
      <xdr:rowOff>38099</xdr:rowOff>
    </xdr:from>
    <xdr:to>
      <xdr:col>9</xdr:col>
      <xdr:colOff>552450</xdr:colOff>
      <xdr:row>37</xdr:row>
      <xdr:rowOff>84666</xdr:rowOff>
    </xdr:to>
    <xdr:sp macro="" textlink="">
      <xdr:nvSpPr>
        <xdr:cNvPr id="7" name="Řečová bublina: obdélníkový bublinový popisek se zakulacenými rohy 6">
          <a:extLst>
            <a:ext uri="{FF2B5EF4-FFF2-40B4-BE49-F238E27FC236}">
              <a16:creationId xmlns:a16="http://schemas.microsoft.com/office/drawing/2014/main" id="{868CEB3A-B7FD-435C-A767-B860022C2329}"/>
            </a:ext>
          </a:extLst>
        </xdr:cNvPr>
        <xdr:cNvSpPr/>
      </xdr:nvSpPr>
      <xdr:spPr>
        <a:xfrm>
          <a:off x="5765800" y="6997699"/>
          <a:ext cx="1816100" cy="1888067"/>
        </a:xfrm>
        <a:prstGeom prst="wedgeRoundRectCallout">
          <a:avLst>
            <a:gd name="adj1" fmla="val -749"/>
            <a:gd name="adj2" fmla="val -106743"/>
            <a:gd name="adj3" fmla="val 16667"/>
          </a:avLst>
        </a:prstGeom>
        <a:solidFill>
          <a:srgbClr val="FEE898">
            <a:alpha val="60000"/>
          </a:srgb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Žlutý</a:t>
          </a:r>
          <a:r>
            <a:rPr lang="cs-CZ" sz="1100" baseline="0"/>
            <a:t> sloupec ukazuje procentuální hodnotu vypočítanou na bázi dané otázky.</a:t>
          </a:r>
        </a:p>
        <a:p>
          <a:pPr algn="l"/>
          <a:endParaRPr lang="cs-CZ" sz="1100" baseline="0"/>
        </a:p>
        <a:p>
          <a:pPr algn="l"/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to číst?</a:t>
          </a:r>
        </a:p>
        <a:p>
          <a:pPr algn="l"/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50 % z lidí, co žije v bytě, ho má pronajatý.</a:t>
          </a:r>
          <a:endParaRPr lang="cs-CZ" sz="1100"/>
        </a:p>
      </xdr:txBody>
    </xdr:sp>
    <xdr:clientData/>
  </xdr:twoCellAnchor>
  <xdr:twoCellAnchor>
    <xdr:from>
      <xdr:col>10</xdr:col>
      <xdr:colOff>28575</xdr:colOff>
      <xdr:row>27</xdr:row>
      <xdr:rowOff>28574</xdr:rowOff>
    </xdr:from>
    <xdr:to>
      <xdr:col>12</xdr:col>
      <xdr:colOff>561975</xdr:colOff>
      <xdr:row>37</xdr:row>
      <xdr:rowOff>84666</xdr:rowOff>
    </xdr:to>
    <xdr:sp macro="" textlink="">
      <xdr:nvSpPr>
        <xdr:cNvPr id="8" name="Řečová bublina: obdélníkový bublinový popisek se zakulacenými rohy 7">
          <a:extLst>
            <a:ext uri="{FF2B5EF4-FFF2-40B4-BE49-F238E27FC236}">
              <a16:creationId xmlns:a16="http://schemas.microsoft.com/office/drawing/2014/main" id="{82DC7E6A-F312-4735-9CCC-1FA272590532}"/>
            </a:ext>
          </a:extLst>
        </xdr:cNvPr>
        <xdr:cNvSpPr/>
      </xdr:nvSpPr>
      <xdr:spPr>
        <a:xfrm>
          <a:off x="7699375" y="6988174"/>
          <a:ext cx="1816100" cy="1897592"/>
        </a:xfrm>
        <a:prstGeom prst="wedgeRoundRectCallout">
          <a:avLst>
            <a:gd name="adj1" fmla="val -71401"/>
            <a:gd name="adj2" fmla="val -104943"/>
            <a:gd name="adj3" fmla="val 16667"/>
          </a:avLst>
        </a:prstGeom>
        <a:solidFill>
          <a:schemeClr val="accent2">
            <a:lumMod val="40000"/>
            <a:lumOff val="60000"/>
            <a:alpha val="60000"/>
          </a:scheme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Červený </a:t>
          </a:r>
          <a:r>
            <a:rPr lang="cs-CZ" sz="1100" baseline="0"/>
            <a:t>sloupec ukazuje procentuální hodnotu vypočítanou z celkové bázé daného třídění.</a:t>
          </a:r>
        </a:p>
        <a:p>
          <a:pPr algn="l"/>
          <a:endParaRPr lang="cs-CZ" sz="1100" baseline="0"/>
        </a:p>
        <a:p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to číst?</a:t>
          </a:r>
          <a:endParaRPr lang="cs-CZ" b="1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28 % z lidí z celkové populace žije v pronajatém bytě.</a:t>
          </a:r>
          <a:endParaRPr lang="cs-CZ">
            <a:effectLst/>
          </a:endParaRPr>
        </a:p>
      </xdr:txBody>
    </xdr:sp>
    <xdr:clientData/>
  </xdr:twoCellAnchor>
  <xdr:twoCellAnchor>
    <xdr:from>
      <xdr:col>15</xdr:col>
      <xdr:colOff>28575</xdr:colOff>
      <xdr:row>7</xdr:row>
      <xdr:rowOff>152400</xdr:rowOff>
    </xdr:from>
    <xdr:to>
      <xdr:col>18</xdr:col>
      <xdr:colOff>561975</xdr:colOff>
      <xdr:row>19</xdr:row>
      <xdr:rowOff>74083</xdr:rowOff>
    </xdr:to>
    <xdr:sp macro="" textlink="">
      <xdr:nvSpPr>
        <xdr:cNvPr id="9" name="Řečová bublina: obdélníkový bublinový popisek se zakulacenými rohy 8">
          <a:extLst>
            <a:ext uri="{FF2B5EF4-FFF2-40B4-BE49-F238E27FC236}">
              <a16:creationId xmlns:a16="http://schemas.microsoft.com/office/drawing/2014/main" id="{BC8A6D9C-B6EC-4F8E-A9C7-43EB2AD01CD3}"/>
            </a:ext>
          </a:extLst>
        </xdr:cNvPr>
        <xdr:cNvSpPr/>
      </xdr:nvSpPr>
      <xdr:spPr>
        <a:xfrm>
          <a:off x="10906125" y="3079750"/>
          <a:ext cx="2457450" cy="2480733"/>
        </a:xfrm>
        <a:prstGeom prst="wedgeRoundRectCallout">
          <a:avLst>
            <a:gd name="adj1" fmla="val -74905"/>
            <a:gd name="adj2" fmla="val -4073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1905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 b="1"/>
            <a:t>Vyznačení signifikancí</a:t>
          </a:r>
        </a:p>
        <a:p>
          <a:pPr algn="l"/>
          <a:r>
            <a:rPr lang="cs-CZ" sz="1100"/>
            <a:t>Pokud je buňka s</a:t>
          </a:r>
          <a:r>
            <a:rPr lang="cs-CZ" sz="1100" baseline="0"/>
            <a:t> procentem </a:t>
          </a:r>
          <a:r>
            <a:rPr lang="cs-CZ" sz="1100" b="0" baseline="0">
              <a:solidFill>
                <a:sysClr val="windowText" lastClr="000000"/>
              </a:solidFill>
            </a:rPr>
            <a:t>zeleně nebo červeně </a:t>
          </a:r>
          <a:r>
            <a:rPr lang="cs-CZ" sz="1100" b="0" baseline="0"/>
            <a:t>podbarvena</a:t>
          </a:r>
          <a:r>
            <a:rPr lang="cs-CZ" sz="1100" baseline="0"/>
            <a:t>, znamená to, že je dané procento signifiklantně vyšší nebo nižší, než jak je tomu u celkové populace.</a:t>
          </a:r>
        </a:p>
        <a:p>
          <a:pPr algn="l"/>
          <a:endParaRPr lang="cs-CZ" sz="1100" baseline="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to číst?</a:t>
          </a:r>
          <a:endParaRPr lang="cs-CZ" sz="1100" baseline="0">
            <a:effectLst/>
          </a:endParaRPr>
        </a:p>
        <a:p>
          <a:pPr algn="l"/>
          <a:r>
            <a:rPr lang="cs-CZ" sz="1100" baseline="0">
              <a:effectLst/>
            </a:rPr>
            <a:t>V tomto případě vidíme, že na vesnicích lidé signifikantně více žijí v rodinných domech, a naopak signifikantně méně v bytech.</a:t>
          </a:r>
          <a:endParaRPr lang="cs-CZ">
            <a:effectLst/>
          </a:endParaRPr>
        </a:p>
      </xdr:txBody>
    </xdr:sp>
    <xdr:clientData/>
  </xdr:twoCellAnchor>
  <xdr:twoCellAnchor>
    <xdr:from>
      <xdr:col>13</xdr:col>
      <xdr:colOff>114300</xdr:colOff>
      <xdr:row>27</xdr:row>
      <xdr:rowOff>28574</xdr:rowOff>
    </xdr:from>
    <xdr:to>
      <xdr:col>14</xdr:col>
      <xdr:colOff>409575</xdr:colOff>
      <xdr:row>32</xdr:row>
      <xdr:rowOff>42334</xdr:rowOff>
    </xdr:to>
    <xdr:sp macro="" textlink="">
      <xdr:nvSpPr>
        <xdr:cNvPr id="10" name="Řečová bublina: obdélníkový bublinový popisek se zakulacenými rohy 9">
          <a:extLst>
            <a:ext uri="{FF2B5EF4-FFF2-40B4-BE49-F238E27FC236}">
              <a16:creationId xmlns:a16="http://schemas.microsoft.com/office/drawing/2014/main" id="{24FE5919-98E1-42BA-B304-1F22E843717D}"/>
            </a:ext>
          </a:extLst>
        </xdr:cNvPr>
        <xdr:cNvSpPr/>
      </xdr:nvSpPr>
      <xdr:spPr>
        <a:xfrm>
          <a:off x="9709150" y="6988174"/>
          <a:ext cx="936625" cy="934510"/>
        </a:xfrm>
        <a:prstGeom prst="wedgeRoundRectCallout">
          <a:avLst>
            <a:gd name="adj1" fmla="val -160535"/>
            <a:gd name="adj2" fmla="val -162926"/>
            <a:gd name="adj3" fmla="val 16667"/>
          </a:avLst>
        </a:prstGeom>
        <a:solidFill>
          <a:schemeClr val="accent5">
            <a:lumMod val="20000"/>
            <a:lumOff val="80000"/>
            <a:alpha val="60000"/>
          </a:schemeClr>
        </a:solidFill>
        <a:ln w="1270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900" b="1" baseline="0"/>
            <a:t>Jak to číst?</a:t>
          </a:r>
          <a:br>
            <a:rPr lang="cs-CZ" sz="900" baseline="0"/>
          </a:br>
          <a:r>
            <a:rPr lang="cs-CZ" sz="900" baseline="0"/>
            <a:t>51 vesničanů žije v pronajatém bytě.</a:t>
          </a:r>
          <a:endParaRPr lang="cs-CZ" sz="900"/>
        </a:p>
      </xdr:txBody>
    </xdr:sp>
    <xdr:clientData/>
  </xdr:twoCellAnchor>
  <xdr:twoCellAnchor>
    <xdr:from>
      <xdr:col>14</xdr:col>
      <xdr:colOff>447675</xdr:colOff>
      <xdr:row>24</xdr:row>
      <xdr:rowOff>190499</xdr:rowOff>
    </xdr:from>
    <xdr:to>
      <xdr:col>16</xdr:col>
      <xdr:colOff>180975</xdr:colOff>
      <xdr:row>29</xdr:row>
      <xdr:rowOff>171450</xdr:rowOff>
    </xdr:to>
    <xdr:sp macro="" textlink="">
      <xdr:nvSpPr>
        <xdr:cNvPr id="11" name="Řečová bublina: obdélníkový bublinový popisek se zakulacenými rohy 10">
          <a:extLst>
            <a:ext uri="{FF2B5EF4-FFF2-40B4-BE49-F238E27FC236}">
              <a16:creationId xmlns:a16="http://schemas.microsoft.com/office/drawing/2014/main" id="{C798213C-F17B-40E1-BDB6-517F90002EC5}"/>
            </a:ext>
          </a:extLst>
        </xdr:cNvPr>
        <xdr:cNvSpPr/>
      </xdr:nvSpPr>
      <xdr:spPr>
        <a:xfrm>
          <a:off x="10683875" y="6591299"/>
          <a:ext cx="1016000" cy="908051"/>
        </a:xfrm>
        <a:prstGeom prst="wedgeRoundRectCallout">
          <a:avLst>
            <a:gd name="adj1" fmla="val -195094"/>
            <a:gd name="adj2" fmla="val -117299"/>
            <a:gd name="adj3" fmla="val 16667"/>
          </a:avLst>
        </a:prstGeom>
        <a:solidFill>
          <a:srgbClr val="FEE898">
            <a:alpha val="60000"/>
          </a:srgbClr>
        </a:solidFill>
        <a:ln w="1270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to číst?</a:t>
          </a:r>
        </a:p>
        <a:p>
          <a:pPr algn="l"/>
          <a:r>
            <a:rPr lang="cs-CZ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62 % z vesničanů, co žije v bytě, ho má pronajatý.</a:t>
          </a:r>
          <a:endParaRPr lang="cs-CZ" sz="900"/>
        </a:p>
      </xdr:txBody>
    </xdr:sp>
    <xdr:clientData/>
  </xdr:twoCellAnchor>
  <xdr:twoCellAnchor>
    <xdr:from>
      <xdr:col>14</xdr:col>
      <xdr:colOff>295275</xdr:colOff>
      <xdr:row>19</xdr:row>
      <xdr:rowOff>161924</xdr:rowOff>
    </xdr:from>
    <xdr:to>
      <xdr:col>16</xdr:col>
      <xdr:colOff>28575</xdr:colOff>
      <xdr:row>24</xdr:row>
      <xdr:rowOff>142875</xdr:rowOff>
    </xdr:to>
    <xdr:sp macro="" textlink="">
      <xdr:nvSpPr>
        <xdr:cNvPr id="12" name="Řečová bublina: obdélníkový bublinový popisek se zakulacenými rohy 11">
          <a:extLst>
            <a:ext uri="{FF2B5EF4-FFF2-40B4-BE49-F238E27FC236}">
              <a16:creationId xmlns:a16="http://schemas.microsoft.com/office/drawing/2014/main" id="{70DF3E7A-7F1E-48D6-A878-BD9FDEFB0864}"/>
            </a:ext>
          </a:extLst>
        </xdr:cNvPr>
        <xdr:cNvSpPr/>
      </xdr:nvSpPr>
      <xdr:spPr>
        <a:xfrm>
          <a:off x="10531475" y="5648324"/>
          <a:ext cx="1016000" cy="901701"/>
        </a:xfrm>
        <a:prstGeom prst="wedgeRoundRectCallout">
          <a:avLst>
            <a:gd name="adj1" fmla="val -85068"/>
            <a:gd name="adj2" fmla="val -15531"/>
            <a:gd name="adj3" fmla="val 16667"/>
          </a:avLst>
        </a:prstGeom>
        <a:solidFill>
          <a:schemeClr val="accent2">
            <a:lumMod val="40000"/>
            <a:lumOff val="60000"/>
            <a:alpha val="60000"/>
          </a:schemeClr>
        </a:solidFill>
        <a:ln w="12700">
          <a:solidFill>
            <a:schemeClr val="bg1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cs-CZ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to číst?</a:t>
          </a:r>
          <a:endParaRPr lang="cs-CZ" sz="900" b="1">
            <a:effectLst/>
          </a:endParaRPr>
        </a:p>
        <a:p>
          <a:r>
            <a:rPr lang="cs-CZ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13 % ze všech vesničanů žije v pronajatém bytě.</a:t>
          </a:r>
          <a:endParaRPr lang="cs-CZ" sz="9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6913-C89B-4F58-811B-81C2FD102725}">
  <dimension ref="A1:O25"/>
  <sheetViews>
    <sheetView tabSelected="1" zoomScaleNormal="100" workbookViewId="0">
      <selection activeCell="R26" sqref="R26"/>
    </sheetView>
  </sheetViews>
  <sheetFormatPr defaultColWidth="9.1796875" defaultRowHeight="14.5" x14ac:dyDescent="0.35"/>
  <cols>
    <col min="1" max="6" width="9.1796875" style="19"/>
    <col min="7" max="7" width="27.1796875" style="20" bestFit="1" customWidth="1"/>
    <col min="8" max="16384" width="9.1796875" style="19"/>
  </cols>
  <sheetData>
    <row r="1" spans="1:15" ht="28.5" x14ac:dyDescent="0.65">
      <c r="A1" s="18" t="s">
        <v>1659</v>
      </c>
    </row>
    <row r="2" spans="1:15" ht="129.75" customHeight="1" x14ac:dyDescent="0.35">
      <c r="A2" s="21" t="s">
        <v>1660</v>
      </c>
      <c r="B2" s="21"/>
      <c r="C2" s="21"/>
      <c r="D2" s="21"/>
      <c r="E2" s="21"/>
      <c r="F2" s="21"/>
      <c r="G2" s="21"/>
      <c r="H2" s="21"/>
      <c r="I2" s="21"/>
      <c r="J2" s="21"/>
    </row>
    <row r="9" spans="1:15" s="22" customFormat="1" ht="42" customHeight="1" x14ac:dyDescent="0.35">
      <c r="G9" s="14"/>
      <c r="H9" s="16" t="s">
        <v>1661</v>
      </c>
      <c r="I9" s="16"/>
      <c r="J9" s="16"/>
      <c r="K9" s="15"/>
      <c r="L9" s="16" t="s">
        <v>1662</v>
      </c>
      <c r="M9" s="16"/>
      <c r="N9" s="16"/>
    </row>
    <row r="10" spans="1:15" x14ac:dyDescent="0.35">
      <c r="G10" s="1"/>
      <c r="H10"/>
      <c r="I10"/>
      <c r="J10"/>
      <c r="K10"/>
      <c r="L10"/>
      <c r="M10"/>
      <c r="N10" s="2"/>
    </row>
    <row r="11" spans="1:15" s="23" customFormat="1" x14ac:dyDescent="0.35">
      <c r="G11" s="3" t="s">
        <v>1663</v>
      </c>
      <c r="H11" s="3"/>
      <c r="I11" s="3"/>
      <c r="J11" s="5" t="s">
        <v>406</v>
      </c>
      <c r="K11" s="3"/>
      <c r="L11" s="3"/>
      <c r="M11" s="3"/>
      <c r="N11" s="5" t="s">
        <v>406</v>
      </c>
    </row>
    <row r="12" spans="1:15" x14ac:dyDescent="0.35">
      <c r="G12" s="1" t="s">
        <v>1664</v>
      </c>
      <c r="H12">
        <v>878</v>
      </c>
      <c r="I12" s="6">
        <v>0.54874999999999996</v>
      </c>
      <c r="J12" s="6">
        <v>0.54874999999999996</v>
      </c>
      <c r="K12"/>
      <c r="L12">
        <v>82</v>
      </c>
      <c r="M12" s="6">
        <v>0.2019704433497537</v>
      </c>
      <c r="N12" s="8">
        <v>0.2019704433497537</v>
      </c>
      <c r="O12" s="24"/>
    </row>
    <row r="13" spans="1:15" x14ac:dyDescent="0.35">
      <c r="G13" s="1" t="s">
        <v>1665</v>
      </c>
      <c r="H13">
        <v>697</v>
      </c>
      <c r="I13" s="6">
        <v>0.43562499999999998</v>
      </c>
      <c r="J13" s="6">
        <v>0.43562499999999998</v>
      </c>
      <c r="K13"/>
      <c r="L13">
        <v>317</v>
      </c>
      <c r="M13" s="6">
        <v>0.78078817733990147</v>
      </c>
      <c r="N13" s="9">
        <v>0.78078817733990147</v>
      </c>
    </row>
    <row r="14" spans="1:15" x14ac:dyDescent="0.35">
      <c r="G14" s="1" t="s">
        <v>1666</v>
      </c>
      <c r="H14">
        <v>4</v>
      </c>
      <c r="I14" s="6">
        <v>2.5000000000000001E-3</v>
      </c>
      <c r="J14" s="6">
        <v>2.5000000000000001E-3</v>
      </c>
      <c r="K14"/>
      <c r="L14">
        <v>1</v>
      </c>
      <c r="M14" s="6">
        <v>2.4630541871921183E-3</v>
      </c>
      <c r="N14" s="6">
        <v>2.4630541871921183E-3</v>
      </c>
    </row>
    <row r="15" spans="1:15" x14ac:dyDescent="0.35">
      <c r="G15" s="1" t="s">
        <v>1667</v>
      </c>
      <c r="H15">
        <v>7</v>
      </c>
      <c r="I15" s="6">
        <v>4.3750000000000004E-3</v>
      </c>
      <c r="J15" s="6">
        <v>4.3750000000000004E-3</v>
      </c>
      <c r="K15"/>
      <c r="L15">
        <v>3</v>
      </c>
      <c r="M15" s="6">
        <v>7.3891625615763543E-3</v>
      </c>
      <c r="N15" s="6">
        <v>7.3891625615763543E-3</v>
      </c>
    </row>
    <row r="16" spans="1:15" x14ac:dyDescent="0.35">
      <c r="G16" s="1" t="s">
        <v>1668</v>
      </c>
      <c r="H16">
        <v>14</v>
      </c>
      <c r="I16" s="6">
        <v>8.7500000000000008E-3</v>
      </c>
      <c r="J16" s="6">
        <v>8.7500000000000008E-3</v>
      </c>
      <c r="K16"/>
      <c r="L16">
        <v>3</v>
      </c>
      <c r="M16" s="6">
        <v>7.3891625615763543E-3</v>
      </c>
      <c r="N16" s="6">
        <v>7.3891625615763543E-3</v>
      </c>
    </row>
    <row r="17" spans="7:15" x14ac:dyDescent="0.35">
      <c r="G17" s="1" t="s">
        <v>409</v>
      </c>
      <c r="H17">
        <v>0</v>
      </c>
      <c r="I17" s="6">
        <v>0</v>
      </c>
      <c r="J17" s="6">
        <v>0</v>
      </c>
      <c r="K17"/>
      <c r="L17">
        <v>0</v>
      </c>
      <c r="M17" s="6">
        <v>0</v>
      </c>
      <c r="N17" s="6">
        <v>0</v>
      </c>
    </row>
    <row r="18" spans="7:15" s="23" customFormat="1" x14ac:dyDescent="0.35">
      <c r="G18" s="11" t="s">
        <v>411</v>
      </c>
      <c r="H18" s="10">
        <v>1600</v>
      </c>
      <c r="I18" s="10"/>
      <c r="J18" s="10"/>
      <c r="K18" s="10"/>
      <c r="L18" s="10">
        <v>406</v>
      </c>
      <c r="M18" s="10"/>
      <c r="N18" s="10"/>
    </row>
    <row r="19" spans="7:15" x14ac:dyDescent="0.35">
      <c r="G19" s="1"/>
      <c r="H19"/>
      <c r="I19"/>
      <c r="J19"/>
      <c r="K19"/>
      <c r="L19"/>
      <c r="M19"/>
      <c r="N19"/>
    </row>
    <row r="20" spans="7:15" x14ac:dyDescent="0.35">
      <c r="G20" s="1"/>
      <c r="H20"/>
      <c r="I20"/>
      <c r="J20"/>
      <c r="K20"/>
      <c r="L20"/>
      <c r="M20"/>
      <c r="N20" s="2"/>
    </row>
    <row r="21" spans="7:15" s="23" customFormat="1" x14ac:dyDescent="0.35">
      <c r="G21" s="3" t="s">
        <v>1669</v>
      </c>
      <c r="H21" s="3"/>
      <c r="I21" s="3"/>
      <c r="J21" s="5" t="s">
        <v>406</v>
      </c>
      <c r="K21" s="3"/>
      <c r="L21" s="3"/>
      <c r="M21" s="3"/>
      <c r="N21" s="5" t="s">
        <v>406</v>
      </c>
    </row>
    <row r="22" spans="7:15" x14ac:dyDescent="0.35">
      <c r="G22" s="1" t="s">
        <v>1670</v>
      </c>
      <c r="H22">
        <v>441</v>
      </c>
      <c r="I22" s="6">
        <v>0.50227790432801822</v>
      </c>
      <c r="J22" s="6">
        <v>0.27562500000000001</v>
      </c>
      <c r="K22"/>
      <c r="L22">
        <v>51</v>
      </c>
      <c r="M22" s="6">
        <v>0.62195121951219512</v>
      </c>
      <c r="N22" s="6">
        <v>0.12561576354679804</v>
      </c>
      <c r="O22" s="24"/>
    </row>
    <row r="23" spans="7:15" x14ac:dyDescent="0.35">
      <c r="G23" s="1" t="s">
        <v>1671</v>
      </c>
      <c r="H23">
        <v>437</v>
      </c>
      <c r="I23" s="6">
        <v>0.49772209567198178</v>
      </c>
      <c r="J23" s="6">
        <v>0.27312500000000001</v>
      </c>
      <c r="K23"/>
      <c r="L23">
        <v>31</v>
      </c>
      <c r="M23" s="6">
        <v>0.37804878048780488</v>
      </c>
      <c r="N23" s="6">
        <v>7.6354679802955669E-2</v>
      </c>
      <c r="O23" s="24"/>
    </row>
    <row r="24" spans="7:15" x14ac:dyDescent="0.35">
      <c r="G24" s="1" t="s">
        <v>409</v>
      </c>
      <c r="H24">
        <v>0</v>
      </c>
      <c r="I24" s="6">
        <v>0</v>
      </c>
      <c r="J24" s="6">
        <v>0</v>
      </c>
      <c r="K24"/>
      <c r="L24">
        <v>0</v>
      </c>
      <c r="M24" s="6">
        <v>0</v>
      </c>
      <c r="N24" s="6">
        <v>0</v>
      </c>
    </row>
    <row r="25" spans="7:15" s="23" customFormat="1" x14ac:dyDescent="0.35">
      <c r="G25" s="11" t="s">
        <v>411</v>
      </c>
      <c r="H25" s="10">
        <v>878</v>
      </c>
      <c r="I25" s="10"/>
      <c r="J25" s="10"/>
      <c r="K25" s="10"/>
      <c r="L25" s="10">
        <v>82</v>
      </c>
      <c r="M25" s="10"/>
      <c r="N25" s="10"/>
    </row>
  </sheetData>
  <mergeCells count="3">
    <mergeCell ref="A2:J2"/>
    <mergeCell ref="H9:J9"/>
    <mergeCell ref="L9:N9"/>
  </mergeCells>
  <conditionalFormatting sqref="H11:H17">
    <cfRule type="dataBar" priority="1">
      <dataBar>
        <cfvo type="min"/>
        <cfvo type="max"/>
        <color rgb="FF628DC4"/>
      </dataBar>
    </cfRule>
  </conditionalFormatting>
  <conditionalFormatting sqref="H21:H24">
    <cfRule type="dataBar" priority="7">
      <dataBar>
        <cfvo type="min"/>
        <cfvo type="max"/>
        <color rgb="FF628DC4"/>
      </dataBar>
    </cfRule>
  </conditionalFormatting>
  <conditionalFormatting sqref="I11:I17">
    <cfRule type="dataBar" priority="2">
      <dataBar>
        <cfvo type="min"/>
        <cfvo type="max"/>
        <color rgb="FFFFB628"/>
      </dataBar>
    </cfRule>
  </conditionalFormatting>
  <conditionalFormatting sqref="I21:I24">
    <cfRule type="dataBar" priority="8">
      <dataBar>
        <cfvo type="min"/>
        <cfvo type="max"/>
        <color rgb="FFFFB628"/>
      </dataBar>
    </cfRule>
  </conditionalFormatting>
  <conditionalFormatting sqref="J11:J17">
    <cfRule type="dataBar" priority="3">
      <dataBar>
        <cfvo type="min"/>
        <cfvo type="max"/>
        <color rgb="FFF08D5B"/>
      </dataBar>
    </cfRule>
  </conditionalFormatting>
  <conditionalFormatting sqref="J21:J24">
    <cfRule type="dataBar" priority="9">
      <dataBar>
        <cfvo type="min"/>
        <cfvo type="max"/>
        <color rgb="FFF08D5B"/>
      </dataBar>
    </cfRule>
  </conditionalFormatting>
  <conditionalFormatting sqref="L11:L17">
    <cfRule type="dataBar" priority="4">
      <dataBar>
        <cfvo type="min"/>
        <cfvo type="max"/>
        <color rgb="FF628DC4"/>
      </dataBar>
    </cfRule>
  </conditionalFormatting>
  <conditionalFormatting sqref="L21:L24">
    <cfRule type="dataBar" priority="10">
      <dataBar>
        <cfvo type="min"/>
        <cfvo type="max"/>
        <color rgb="FF628DC4"/>
      </dataBar>
    </cfRule>
  </conditionalFormatting>
  <conditionalFormatting sqref="M11:M17">
    <cfRule type="dataBar" priority="5">
      <dataBar>
        <cfvo type="min"/>
        <cfvo type="max"/>
        <color rgb="FFFFB628"/>
      </dataBar>
    </cfRule>
  </conditionalFormatting>
  <conditionalFormatting sqref="M21:M24">
    <cfRule type="dataBar" priority="11">
      <dataBar>
        <cfvo type="min"/>
        <cfvo type="max"/>
        <color rgb="FFFFB628"/>
      </dataBar>
    </cfRule>
  </conditionalFormatting>
  <conditionalFormatting sqref="N11:N17">
    <cfRule type="dataBar" priority="6">
      <dataBar>
        <cfvo type="min"/>
        <cfvo type="max"/>
        <color rgb="FFF08D5B"/>
      </dataBar>
    </cfRule>
  </conditionalFormatting>
  <conditionalFormatting sqref="N21:N24">
    <cfRule type="dataBar" priority="12">
      <dataBar>
        <cfvo type="min"/>
        <cfvo type="max"/>
        <color rgb="FFF08D5B"/>
      </dataBar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K629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30" sqref="A630:XFD637"/>
    </sheetView>
  </sheetViews>
  <sheetFormatPr defaultRowHeight="14.5" x14ac:dyDescent="0.35"/>
  <cols>
    <col min="1" max="1" width="80.7265625" style="1" customWidth="1"/>
  </cols>
  <sheetData>
    <row r="3" spans="1:89" hidden="1" x14ac:dyDescent="0.35">
      <c r="B3" s="17" t="s">
        <v>0</v>
      </c>
      <c r="C3" s="17"/>
      <c r="D3">
        <v>1100</v>
      </c>
      <c r="F3" s="17" t="s">
        <v>0</v>
      </c>
      <c r="G3" s="17"/>
      <c r="H3">
        <v>911</v>
      </c>
      <c r="J3" s="17" t="s">
        <v>0</v>
      </c>
      <c r="K3" s="17"/>
      <c r="L3">
        <v>434</v>
      </c>
      <c r="N3" s="17" t="s">
        <v>0</v>
      </c>
      <c r="O3" s="17"/>
      <c r="P3">
        <v>81</v>
      </c>
      <c r="R3" s="17" t="s">
        <v>0</v>
      </c>
      <c r="S3" s="17"/>
      <c r="T3">
        <v>560</v>
      </c>
      <c r="V3" s="17" t="s">
        <v>0</v>
      </c>
      <c r="W3" s="17"/>
      <c r="X3">
        <v>540</v>
      </c>
      <c r="Z3" s="17" t="s">
        <v>0</v>
      </c>
      <c r="AA3" s="17"/>
      <c r="AB3">
        <v>113</v>
      </c>
      <c r="AD3" s="17" t="s">
        <v>0</v>
      </c>
      <c r="AE3" s="17"/>
      <c r="AF3">
        <v>198</v>
      </c>
      <c r="AH3" s="17" t="s">
        <v>0</v>
      </c>
      <c r="AI3" s="17"/>
      <c r="AJ3">
        <v>247</v>
      </c>
      <c r="AL3" s="17" t="s">
        <v>0</v>
      </c>
      <c r="AM3" s="17"/>
      <c r="AN3">
        <v>232</v>
      </c>
      <c r="AP3" s="17" t="s">
        <v>0</v>
      </c>
      <c r="AQ3" s="17"/>
      <c r="AR3">
        <v>186</v>
      </c>
      <c r="AT3" s="17" t="s">
        <v>0</v>
      </c>
      <c r="AU3" s="17"/>
      <c r="AV3">
        <v>124</v>
      </c>
      <c r="AX3" s="17" t="s">
        <v>0</v>
      </c>
      <c r="AY3" s="17"/>
      <c r="AZ3">
        <v>430</v>
      </c>
      <c r="BB3" s="17" t="s">
        <v>0</v>
      </c>
      <c r="BC3" s="17"/>
      <c r="BD3">
        <v>428</v>
      </c>
      <c r="BF3" s="17" t="s">
        <v>0</v>
      </c>
      <c r="BG3" s="17"/>
      <c r="BH3">
        <v>242</v>
      </c>
      <c r="BJ3" s="17" t="s">
        <v>0</v>
      </c>
      <c r="BK3" s="17"/>
      <c r="BL3">
        <v>403</v>
      </c>
      <c r="BN3" s="17" t="s">
        <v>0</v>
      </c>
      <c r="BO3" s="17"/>
      <c r="BP3">
        <v>423</v>
      </c>
      <c r="BR3" s="17" t="s">
        <v>0</v>
      </c>
      <c r="BS3" s="17"/>
      <c r="BT3">
        <v>274</v>
      </c>
      <c r="BV3" s="17" t="s">
        <v>0</v>
      </c>
      <c r="BW3" s="17"/>
      <c r="BX3">
        <v>305</v>
      </c>
      <c r="BZ3" s="17" t="s">
        <v>0</v>
      </c>
      <c r="CA3" s="17"/>
      <c r="CB3">
        <v>224</v>
      </c>
      <c r="CD3" s="17" t="s">
        <v>0</v>
      </c>
      <c r="CE3" s="17"/>
      <c r="CF3">
        <v>241</v>
      </c>
      <c r="CH3" s="17" t="s">
        <v>0</v>
      </c>
      <c r="CI3" s="17"/>
      <c r="CJ3">
        <v>330</v>
      </c>
    </row>
    <row r="4" spans="1:89" s="15" customFormat="1" ht="51" customHeight="1" x14ac:dyDescent="0.35">
      <c r="A4" s="14" t="s">
        <v>1</v>
      </c>
      <c r="B4" s="16" t="s">
        <v>1638</v>
      </c>
      <c r="C4" s="16"/>
      <c r="D4" s="16"/>
      <c r="F4" s="16" t="s">
        <v>1639</v>
      </c>
      <c r="G4" s="16"/>
      <c r="H4" s="16"/>
      <c r="J4" s="16" t="s">
        <v>1640</v>
      </c>
      <c r="K4" s="16"/>
      <c r="L4" s="16"/>
      <c r="N4" s="16" t="s">
        <v>1641</v>
      </c>
      <c r="O4" s="16"/>
      <c r="P4" s="16"/>
      <c r="R4" s="16" t="s">
        <v>1642</v>
      </c>
      <c r="S4" s="16"/>
      <c r="T4" s="16"/>
      <c r="V4" s="16" t="s">
        <v>1643</v>
      </c>
      <c r="W4" s="16"/>
      <c r="X4" s="16"/>
      <c r="Z4" s="16" t="s">
        <v>1644</v>
      </c>
      <c r="AA4" s="16"/>
      <c r="AB4" s="16"/>
      <c r="AD4" s="16" t="s">
        <v>1645</v>
      </c>
      <c r="AE4" s="16"/>
      <c r="AF4" s="16"/>
      <c r="AH4" s="16" t="s">
        <v>1646</v>
      </c>
      <c r="AI4" s="16"/>
      <c r="AJ4" s="16"/>
      <c r="AL4" s="16" t="s">
        <v>1647</v>
      </c>
      <c r="AM4" s="16"/>
      <c r="AN4" s="16"/>
      <c r="AP4" s="16" t="s">
        <v>1648</v>
      </c>
      <c r="AQ4" s="16"/>
      <c r="AR4" s="16"/>
      <c r="AT4" s="16" t="s">
        <v>2</v>
      </c>
      <c r="AU4" s="16"/>
      <c r="AV4" s="16"/>
      <c r="AX4" s="16" t="s">
        <v>1649</v>
      </c>
      <c r="AY4" s="16"/>
      <c r="AZ4" s="16"/>
      <c r="BB4" s="16" t="s">
        <v>1650</v>
      </c>
      <c r="BC4" s="16"/>
      <c r="BD4" s="16"/>
      <c r="BF4" s="16" t="s">
        <v>1651</v>
      </c>
      <c r="BG4" s="16"/>
      <c r="BH4" s="16"/>
      <c r="BJ4" s="16" t="s">
        <v>1652</v>
      </c>
      <c r="BK4" s="16"/>
      <c r="BL4" s="16"/>
      <c r="BN4" s="16" t="s">
        <v>1653</v>
      </c>
      <c r="BO4" s="16"/>
      <c r="BP4" s="16"/>
      <c r="BR4" s="16" t="s">
        <v>1654</v>
      </c>
      <c r="BS4" s="16"/>
      <c r="BT4" s="16"/>
      <c r="BV4" s="16" t="s">
        <v>1655</v>
      </c>
      <c r="BW4" s="16"/>
      <c r="BX4" s="16"/>
      <c r="BZ4" s="16" t="s">
        <v>1656</v>
      </c>
      <c r="CA4" s="16"/>
      <c r="CB4" s="16"/>
      <c r="CD4" s="16" t="s">
        <v>1657</v>
      </c>
      <c r="CE4" s="16"/>
      <c r="CF4" s="16"/>
      <c r="CH4" s="16" t="s">
        <v>1658</v>
      </c>
      <c r="CI4" s="16"/>
      <c r="CJ4" s="16"/>
    </row>
    <row r="5" spans="1:89" x14ac:dyDescent="0.35">
      <c r="AB5" s="2" t="s">
        <v>3</v>
      </c>
      <c r="AF5" s="2" t="s">
        <v>4</v>
      </c>
      <c r="AJ5" s="2" t="s">
        <v>5</v>
      </c>
      <c r="AN5" s="2" t="s">
        <v>6</v>
      </c>
      <c r="AR5" s="2" t="s">
        <v>7</v>
      </c>
      <c r="AV5" s="2" t="s">
        <v>8</v>
      </c>
      <c r="AZ5" s="2" t="s">
        <v>3</v>
      </c>
      <c r="BD5" s="2" t="s">
        <v>4</v>
      </c>
      <c r="BH5" s="2" t="s">
        <v>5</v>
      </c>
      <c r="BL5" s="2" t="s">
        <v>3</v>
      </c>
      <c r="BP5" s="2" t="s">
        <v>4</v>
      </c>
      <c r="BT5" s="2" t="s">
        <v>5</v>
      </c>
      <c r="BX5" s="2" t="s">
        <v>3</v>
      </c>
      <c r="CB5" s="2" t="s">
        <v>4</v>
      </c>
      <c r="CF5" s="2" t="s">
        <v>5</v>
      </c>
      <c r="CJ5" s="2" t="s">
        <v>6</v>
      </c>
    </row>
    <row r="6" spans="1:89" s="3" customFormat="1" x14ac:dyDescent="0.35">
      <c r="A6" s="4">
        <v>0</v>
      </c>
      <c r="D6" s="5" t="s">
        <v>406</v>
      </c>
      <c r="H6" s="5" t="s">
        <v>406</v>
      </c>
      <c r="L6" s="5" t="s">
        <v>406</v>
      </c>
      <c r="P6" s="5" t="s">
        <v>406</v>
      </c>
      <c r="T6" s="5" t="s">
        <v>406</v>
      </c>
      <c r="X6" s="5" t="s">
        <v>406</v>
      </c>
      <c r="AB6" s="5" t="s">
        <v>406</v>
      </c>
      <c r="AF6" s="5" t="s">
        <v>406</v>
      </c>
      <c r="AJ6" s="5" t="s">
        <v>406</v>
      </c>
      <c r="AN6" s="5" t="s">
        <v>406</v>
      </c>
      <c r="AR6" s="5" t="s">
        <v>406</v>
      </c>
      <c r="AV6" s="5" t="s">
        <v>406</v>
      </c>
      <c r="AZ6" s="5" t="s">
        <v>406</v>
      </c>
      <c r="BD6" s="5" t="s">
        <v>406</v>
      </c>
      <c r="BH6" s="5" t="s">
        <v>406</v>
      </c>
      <c r="BL6" s="5" t="s">
        <v>406</v>
      </c>
      <c r="BP6" s="5" t="s">
        <v>406</v>
      </c>
      <c r="BT6" s="5" t="s">
        <v>406</v>
      </c>
      <c r="BX6" s="5" t="s">
        <v>406</v>
      </c>
      <c r="CB6" s="5" t="s">
        <v>406</v>
      </c>
      <c r="CF6" s="5" t="s">
        <v>406</v>
      </c>
      <c r="CJ6" s="5" t="s">
        <v>406</v>
      </c>
    </row>
    <row r="7" spans="1:89" x14ac:dyDescent="0.35">
      <c r="A7" s="1" t="s">
        <v>407</v>
      </c>
      <c r="B7">
        <v>1875</v>
      </c>
      <c r="C7" s="6">
        <f>B7/B9</f>
        <v>1.7045454545454546</v>
      </c>
      <c r="D7" s="6">
        <f>1875/$D$3</f>
        <v>1.7045454545454546</v>
      </c>
      <c r="F7">
        <v>1728</v>
      </c>
      <c r="G7" s="6">
        <f>F7/F9</f>
        <v>1.8968166849615806</v>
      </c>
      <c r="H7" s="6">
        <f>1728/$H$3</f>
        <v>1.8968166849615806</v>
      </c>
      <c r="J7">
        <v>841</v>
      </c>
      <c r="K7" s="6">
        <f>J7/J9</f>
        <v>1.9377880184331797</v>
      </c>
      <c r="L7" s="6">
        <f>841/$L$3</f>
        <v>1.9377880184331797</v>
      </c>
      <c r="N7">
        <v>135</v>
      </c>
      <c r="O7" s="6">
        <f>N7/N9</f>
        <v>1.6666666666666667</v>
      </c>
      <c r="P7" s="6">
        <f>135/$P$3</f>
        <v>1.6666666666666667</v>
      </c>
      <c r="R7">
        <v>973</v>
      </c>
      <c r="S7" s="6">
        <f>R7/R9</f>
        <v>1.7375</v>
      </c>
      <c r="T7" s="6">
        <f>973/$T$3</f>
        <v>1.7375</v>
      </c>
      <c r="V7">
        <v>902</v>
      </c>
      <c r="W7" s="6">
        <f>V7/V9</f>
        <v>1.6703703703703703</v>
      </c>
      <c r="X7" s="6">
        <f>902/$X$3</f>
        <v>1.6703703703703703</v>
      </c>
      <c r="Z7">
        <v>224</v>
      </c>
      <c r="AA7" s="6">
        <f>Z7/Z9</f>
        <v>1.9823008849557522</v>
      </c>
      <c r="AB7" s="6">
        <f>224/$AB$3</f>
        <v>1.9823008849557522</v>
      </c>
      <c r="AC7" s="7"/>
      <c r="AD7">
        <v>424</v>
      </c>
      <c r="AE7" s="6">
        <f>AD7/AD9</f>
        <v>2.1414141414141414</v>
      </c>
      <c r="AF7" s="6">
        <f>424/$AF$3</f>
        <v>2.1414141414141414</v>
      </c>
      <c r="AG7" s="7"/>
      <c r="AH7">
        <v>489</v>
      </c>
      <c r="AI7" s="6">
        <f>AH7/AH9</f>
        <v>1.9797570850202428</v>
      </c>
      <c r="AJ7" s="6">
        <f>489/$AJ$3</f>
        <v>1.9797570850202428</v>
      </c>
      <c r="AK7" s="7"/>
      <c r="AL7">
        <v>377</v>
      </c>
      <c r="AM7" s="6">
        <f>AL7/AL9</f>
        <v>1.625</v>
      </c>
      <c r="AN7" s="6">
        <f>377/$AN$3</f>
        <v>1.625</v>
      </c>
      <c r="AO7" s="7"/>
      <c r="AP7">
        <v>233</v>
      </c>
      <c r="AQ7" s="6">
        <f>AP7/AP9</f>
        <v>1.2526881720430108</v>
      </c>
      <c r="AR7" s="6">
        <f>233/$AR$3</f>
        <v>1.2526881720430108</v>
      </c>
      <c r="AS7" s="7"/>
      <c r="AT7">
        <v>128</v>
      </c>
      <c r="AU7" s="6">
        <f>AT7/AT9</f>
        <v>1.032258064516129</v>
      </c>
      <c r="AV7" s="6">
        <f>128/$AV$3</f>
        <v>1.032258064516129</v>
      </c>
      <c r="AX7">
        <v>556</v>
      </c>
      <c r="AY7" s="6">
        <f>AX7/AX9</f>
        <v>1.2930232558139534</v>
      </c>
      <c r="AZ7" s="6">
        <f>556/$AZ$3</f>
        <v>1.2930232558139534</v>
      </c>
      <c r="BB7">
        <v>810</v>
      </c>
      <c r="BC7" s="6">
        <f>BB7/BB9</f>
        <v>1.8925233644859814</v>
      </c>
      <c r="BD7" s="6">
        <f>810/$BD$3</f>
        <v>1.8925233644859814</v>
      </c>
      <c r="BE7" s="7" t="s">
        <v>3</v>
      </c>
      <c r="BF7">
        <v>509</v>
      </c>
      <c r="BG7" s="6">
        <f>BF7/BF9</f>
        <v>2.1033057851239669</v>
      </c>
      <c r="BH7" s="6">
        <f>509/$BH$3</f>
        <v>2.1033057851239669</v>
      </c>
      <c r="BI7" s="7" t="s">
        <v>408</v>
      </c>
      <c r="BJ7">
        <v>644</v>
      </c>
      <c r="BK7" s="6">
        <f>BJ7/BJ9</f>
        <v>1.598014888337469</v>
      </c>
      <c r="BL7" s="6">
        <f>644/$BL$3</f>
        <v>1.598014888337469</v>
      </c>
      <c r="BN7">
        <v>719</v>
      </c>
      <c r="BO7" s="6">
        <f>BN7/BN9</f>
        <v>1.6997635933806146</v>
      </c>
      <c r="BP7" s="6">
        <f>719/$BP$3</f>
        <v>1.6997635933806146</v>
      </c>
      <c r="BQ7" s="7"/>
      <c r="BR7">
        <v>512</v>
      </c>
      <c r="BS7" s="6">
        <f>BR7/BR9</f>
        <v>1.8686131386861313</v>
      </c>
      <c r="BT7" s="6">
        <f>512/$BT$3</f>
        <v>1.8686131386861313</v>
      </c>
      <c r="BU7" s="7"/>
      <c r="BV7">
        <v>475</v>
      </c>
      <c r="BW7" s="6">
        <f>BV7/BV9</f>
        <v>1.5573770491803278</v>
      </c>
      <c r="BX7" s="6">
        <f>475/$BX$3</f>
        <v>1.5573770491803278</v>
      </c>
      <c r="BZ7">
        <v>355</v>
      </c>
      <c r="CA7" s="6">
        <f>BZ7/BZ9</f>
        <v>1.5848214285714286</v>
      </c>
      <c r="CB7" s="6">
        <f>355/$CB$3</f>
        <v>1.5848214285714286</v>
      </c>
      <c r="CD7">
        <v>384</v>
      </c>
      <c r="CE7" s="6">
        <f>CD7/CD9</f>
        <v>1.5933609958506223</v>
      </c>
      <c r="CF7" s="6">
        <f>384/$CF$3</f>
        <v>1.5933609958506223</v>
      </c>
      <c r="CH7">
        <v>661</v>
      </c>
      <c r="CI7" s="6">
        <f>CH7/CH9</f>
        <v>2.0030303030303029</v>
      </c>
      <c r="CJ7" s="6">
        <f>661/$CJ$3</f>
        <v>2.0030303030303029</v>
      </c>
      <c r="CK7" s="7"/>
    </row>
    <row r="8" spans="1:89" x14ac:dyDescent="0.35">
      <c r="A8" s="1" t="s">
        <v>409</v>
      </c>
      <c r="B8">
        <v>313</v>
      </c>
      <c r="C8" s="6">
        <f>B8/B9</f>
        <v>0.28454545454545455</v>
      </c>
      <c r="D8" s="6">
        <f>313/$D$3</f>
        <v>0.28454545454545455</v>
      </c>
      <c r="F8">
        <v>200</v>
      </c>
      <c r="G8" s="6">
        <f>F8/F9</f>
        <v>0.21953896816684962</v>
      </c>
      <c r="H8" s="8">
        <f>200/$H$3</f>
        <v>0.21953896816684962</v>
      </c>
      <c r="J8">
        <v>91</v>
      </c>
      <c r="K8" s="6">
        <f>J8/J9</f>
        <v>0.20967741935483872</v>
      </c>
      <c r="L8" s="8">
        <f>91/$L$3</f>
        <v>0.20967741935483872</v>
      </c>
      <c r="N8">
        <v>17</v>
      </c>
      <c r="O8" s="6">
        <f>N8/N9</f>
        <v>0.20987654320987653</v>
      </c>
      <c r="P8" s="6">
        <f>17/$P$3</f>
        <v>0.20987654320987653</v>
      </c>
      <c r="R8">
        <v>151</v>
      </c>
      <c r="S8" s="6">
        <f>R8/R9</f>
        <v>0.26964285714285713</v>
      </c>
      <c r="T8" s="6">
        <f>151/$T$3</f>
        <v>0.26964285714285713</v>
      </c>
      <c r="V8">
        <v>162</v>
      </c>
      <c r="W8" s="6">
        <f>V8/V9</f>
        <v>0.3</v>
      </c>
      <c r="X8" s="6">
        <f>162/$X$3</f>
        <v>0.3</v>
      </c>
      <c r="Z8">
        <v>28</v>
      </c>
      <c r="AA8" s="6">
        <f>Z8/Z9</f>
        <v>0.24778761061946902</v>
      </c>
      <c r="AB8" s="6">
        <f>28/$AB$3</f>
        <v>0.24778761061946902</v>
      </c>
      <c r="AD8">
        <v>37</v>
      </c>
      <c r="AE8" s="6">
        <f>AD8/AD9</f>
        <v>0.18686868686868688</v>
      </c>
      <c r="AF8" s="8">
        <f>37/$AF$3</f>
        <v>0.18686868686868688</v>
      </c>
      <c r="AH8">
        <v>59</v>
      </c>
      <c r="AI8" s="6">
        <f>AH8/AH9</f>
        <v>0.23886639676113361</v>
      </c>
      <c r="AJ8" s="6">
        <f>59/$AJ$3</f>
        <v>0.23886639676113361</v>
      </c>
      <c r="AL8">
        <v>66</v>
      </c>
      <c r="AM8" s="6">
        <f>AL8/AL9</f>
        <v>0.28448275862068967</v>
      </c>
      <c r="AN8" s="6">
        <f>66/$AN$3</f>
        <v>0.28448275862068967</v>
      </c>
      <c r="AP8">
        <v>71</v>
      </c>
      <c r="AQ8" s="6">
        <f>AP8/AP9</f>
        <v>0.38172043010752688</v>
      </c>
      <c r="AR8" s="9">
        <f>71/$AR$3</f>
        <v>0.38172043010752688</v>
      </c>
      <c r="AS8" s="7"/>
      <c r="AT8">
        <v>52</v>
      </c>
      <c r="AU8" s="6">
        <f>AT8/AT9</f>
        <v>0.41935483870967744</v>
      </c>
      <c r="AV8" s="9">
        <f>52/$AV$3</f>
        <v>0.41935483870967744</v>
      </c>
      <c r="AW8" s="7"/>
      <c r="AX8">
        <v>161</v>
      </c>
      <c r="AY8" s="6">
        <f>AX8/AX9</f>
        <v>0.37441860465116278</v>
      </c>
      <c r="AZ8" s="9">
        <f>161/$AZ$3</f>
        <v>0.37441860465116278</v>
      </c>
      <c r="BA8" s="7" t="s">
        <v>410</v>
      </c>
      <c r="BB8">
        <v>103</v>
      </c>
      <c r="BC8" s="6">
        <f>BB8/BB9</f>
        <v>0.24065420560747663</v>
      </c>
      <c r="BD8" s="6">
        <f>103/$BD$3</f>
        <v>0.24065420560747663</v>
      </c>
      <c r="BF8">
        <v>49</v>
      </c>
      <c r="BG8" s="6">
        <f>BF8/BF9</f>
        <v>0.2024793388429752</v>
      </c>
      <c r="BH8" s="8">
        <f>49/$BH$3</f>
        <v>0.2024793388429752</v>
      </c>
      <c r="BJ8">
        <v>130</v>
      </c>
      <c r="BK8" s="6">
        <f>BJ8/BJ9</f>
        <v>0.32258064516129031</v>
      </c>
      <c r="BL8" s="6">
        <f>130/$BL$3</f>
        <v>0.32258064516129031</v>
      </c>
      <c r="BN8">
        <v>116</v>
      </c>
      <c r="BO8" s="6">
        <f>BN8/BN9</f>
        <v>0.27423167848699764</v>
      </c>
      <c r="BP8" s="6">
        <f>116/$BP$3</f>
        <v>0.27423167848699764</v>
      </c>
      <c r="BR8">
        <v>67</v>
      </c>
      <c r="BS8" s="6">
        <f>BR8/BR9</f>
        <v>0.24452554744525548</v>
      </c>
      <c r="BT8" s="6">
        <f>67/$BT$3</f>
        <v>0.24452554744525548</v>
      </c>
      <c r="BV8">
        <v>95</v>
      </c>
      <c r="BW8" s="6">
        <f>BV8/BV9</f>
        <v>0.31147540983606559</v>
      </c>
      <c r="BX8" s="6">
        <f>95/$BX$3</f>
        <v>0.31147540983606559</v>
      </c>
      <c r="BZ8">
        <v>70</v>
      </c>
      <c r="CA8" s="6">
        <f>BZ8/BZ9</f>
        <v>0.3125</v>
      </c>
      <c r="CB8" s="6">
        <f>70/$CB$3</f>
        <v>0.3125</v>
      </c>
      <c r="CD8">
        <v>71</v>
      </c>
      <c r="CE8" s="6">
        <f>CD8/CD9</f>
        <v>0.29460580912863071</v>
      </c>
      <c r="CF8" s="6">
        <f>71/$CF$3</f>
        <v>0.29460580912863071</v>
      </c>
      <c r="CH8">
        <v>77</v>
      </c>
      <c r="CI8" s="6">
        <f>CH8/CH9</f>
        <v>0.23333333333333334</v>
      </c>
      <c r="CJ8" s="8">
        <f>77/$CJ$3</f>
        <v>0.23333333333333334</v>
      </c>
    </row>
    <row r="9" spans="1:89" s="10" customFormat="1" x14ac:dyDescent="0.35">
      <c r="A9" s="11" t="s">
        <v>411</v>
      </c>
      <c r="B9" s="10">
        <v>1100</v>
      </c>
      <c r="F9" s="10">
        <v>911</v>
      </c>
      <c r="J9" s="10">
        <v>434</v>
      </c>
      <c r="N9" s="10">
        <v>81</v>
      </c>
      <c r="R9" s="10">
        <v>560</v>
      </c>
      <c r="V9" s="10">
        <v>540</v>
      </c>
      <c r="Z9" s="10">
        <v>113</v>
      </c>
      <c r="AD9" s="10">
        <v>198</v>
      </c>
      <c r="AH9" s="10">
        <v>247</v>
      </c>
      <c r="AL9" s="10">
        <v>232</v>
      </c>
      <c r="AP9" s="10">
        <v>186</v>
      </c>
      <c r="AT9" s="10">
        <v>124</v>
      </c>
      <c r="AX9" s="10">
        <v>430</v>
      </c>
      <c r="BB9" s="10">
        <v>428</v>
      </c>
      <c r="BF9" s="10">
        <v>242</v>
      </c>
      <c r="BJ9" s="10">
        <v>403</v>
      </c>
      <c r="BN9" s="10">
        <v>423</v>
      </c>
      <c r="BR9" s="10">
        <v>274</v>
      </c>
      <c r="BV9" s="10">
        <v>305</v>
      </c>
      <c r="BZ9" s="10">
        <v>224</v>
      </c>
      <c r="CD9" s="10">
        <v>241</v>
      </c>
      <c r="CH9" s="10">
        <v>330</v>
      </c>
    </row>
    <row r="10" spans="1:89" hidden="1" x14ac:dyDescent="0.35">
      <c r="A10" s="12" t="s">
        <v>412</v>
      </c>
      <c r="B10">
        <v>0</v>
      </c>
      <c r="F10">
        <v>0</v>
      </c>
      <c r="J10">
        <v>0</v>
      </c>
      <c r="N10">
        <v>0</v>
      </c>
      <c r="R10">
        <v>0</v>
      </c>
      <c r="V10">
        <v>0</v>
      </c>
      <c r="Z10">
        <v>0</v>
      </c>
      <c r="AD10">
        <v>0</v>
      </c>
      <c r="AH10">
        <v>0</v>
      </c>
      <c r="AL10">
        <v>0</v>
      </c>
      <c r="AP10">
        <v>0</v>
      </c>
      <c r="AT10">
        <v>0</v>
      </c>
      <c r="AX10">
        <v>0</v>
      </c>
      <c r="BB10">
        <v>0</v>
      </c>
      <c r="BF10">
        <v>0</v>
      </c>
      <c r="BJ10">
        <v>0</v>
      </c>
      <c r="BN10">
        <v>0</v>
      </c>
      <c r="BR10">
        <v>0</v>
      </c>
      <c r="BV10">
        <v>0</v>
      </c>
      <c r="BZ10">
        <v>0</v>
      </c>
      <c r="CD10">
        <v>0</v>
      </c>
      <c r="CH10">
        <v>0</v>
      </c>
    </row>
    <row r="11" spans="1:89" hidden="1" x14ac:dyDescent="0.35">
      <c r="A11" s="12" t="s">
        <v>413</v>
      </c>
      <c r="B11">
        <v>0</v>
      </c>
      <c r="F11">
        <v>0</v>
      </c>
      <c r="J11">
        <v>0</v>
      </c>
      <c r="N11">
        <v>0</v>
      </c>
      <c r="R11">
        <v>0</v>
      </c>
      <c r="V11">
        <v>0</v>
      </c>
      <c r="Z11">
        <v>0</v>
      </c>
      <c r="AD11">
        <v>0</v>
      </c>
      <c r="AH11">
        <v>0</v>
      </c>
      <c r="AL11">
        <v>0</v>
      </c>
      <c r="AP11">
        <v>0</v>
      </c>
      <c r="AT11">
        <v>0</v>
      </c>
      <c r="AX11">
        <v>0</v>
      </c>
      <c r="BB11">
        <v>0</v>
      </c>
      <c r="BF11">
        <v>0</v>
      </c>
      <c r="BJ11">
        <v>0</v>
      </c>
      <c r="BN11">
        <v>0</v>
      </c>
      <c r="BR11">
        <v>0</v>
      </c>
      <c r="BV11">
        <v>0</v>
      </c>
      <c r="BZ11">
        <v>0</v>
      </c>
      <c r="CD11">
        <v>0</v>
      </c>
      <c r="CH11">
        <v>0</v>
      </c>
    </row>
    <row r="13" spans="1:89" x14ac:dyDescent="0.35">
      <c r="AB13" s="2" t="s">
        <v>3</v>
      </c>
      <c r="AF13" s="2" t="s">
        <v>4</v>
      </c>
      <c r="AJ13" s="2" t="s">
        <v>5</v>
      </c>
      <c r="AN13" s="2" t="s">
        <v>6</v>
      </c>
      <c r="AR13" s="2" t="s">
        <v>7</v>
      </c>
      <c r="AV13" s="2" t="s">
        <v>8</v>
      </c>
      <c r="AZ13" s="2" t="s">
        <v>3</v>
      </c>
      <c r="BD13" s="2" t="s">
        <v>4</v>
      </c>
      <c r="BH13" s="2" t="s">
        <v>5</v>
      </c>
      <c r="BL13" s="2" t="s">
        <v>3</v>
      </c>
      <c r="BP13" s="2" t="s">
        <v>4</v>
      </c>
      <c r="BT13" s="2" t="s">
        <v>5</v>
      </c>
      <c r="BX13" s="2" t="s">
        <v>3</v>
      </c>
      <c r="CB13" s="2" t="s">
        <v>4</v>
      </c>
      <c r="CF13" s="2" t="s">
        <v>5</v>
      </c>
      <c r="CJ13" s="2" t="s">
        <v>6</v>
      </c>
    </row>
    <row r="14" spans="1:89" s="3" customFormat="1" x14ac:dyDescent="0.35">
      <c r="A14" s="3" t="s">
        <v>414</v>
      </c>
      <c r="D14" s="5" t="s">
        <v>406</v>
      </c>
      <c r="H14" s="5" t="s">
        <v>406</v>
      </c>
      <c r="L14" s="5" t="s">
        <v>406</v>
      </c>
      <c r="P14" s="5" t="s">
        <v>406</v>
      </c>
      <c r="T14" s="5" t="s">
        <v>406</v>
      </c>
      <c r="X14" s="5" t="s">
        <v>406</v>
      </c>
      <c r="AB14" s="5" t="s">
        <v>406</v>
      </c>
      <c r="AF14" s="5" t="s">
        <v>406</v>
      </c>
      <c r="AJ14" s="5" t="s">
        <v>406</v>
      </c>
      <c r="AN14" s="5" t="s">
        <v>406</v>
      </c>
      <c r="AR14" s="5" t="s">
        <v>406</v>
      </c>
      <c r="AV14" s="5" t="s">
        <v>406</v>
      </c>
      <c r="AZ14" s="5" t="s">
        <v>406</v>
      </c>
      <c r="BD14" s="5" t="s">
        <v>406</v>
      </c>
      <c r="BH14" s="5" t="s">
        <v>406</v>
      </c>
      <c r="BL14" s="5" t="s">
        <v>406</v>
      </c>
      <c r="BP14" s="5" t="s">
        <v>406</v>
      </c>
      <c r="BT14" s="5" t="s">
        <v>406</v>
      </c>
      <c r="BX14" s="5" t="s">
        <v>406</v>
      </c>
      <c r="CB14" s="5" t="s">
        <v>406</v>
      </c>
      <c r="CF14" s="5" t="s">
        <v>406</v>
      </c>
      <c r="CJ14" s="5" t="s">
        <v>406</v>
      </c>
    </row>
    <row r="15" spans="1:89" x14ac:dyDescent="0.35">
      <c r="A15" s="1" t="s">
        <v>415</v>
      </c>
      <c r="B15">
        <v>565</v>
      </c>
      <c r="C15" s="6">
        <f>B15/B20</f>
        <v>0.51363636363636367</v>
      </c>
      <c r="D15" s="6">
        <f>565/$D$3</f>
        <v>0.51363636363636367</v>
      </c>
      <c r="F15">
        <v>565</v>
      </c>
      <c r="G15" s="6">
        <f>F15/F20</f>
        <v>0.62019758507135014</v>
      </c>
      <c r="H15" s="6">
        <f>565/$H$3</f>
        <v>0.62019758507135014</v>
      </c>
      <c r="J15">
        <v>269</v>
      </c>
      <c r="K15" s="6">
        <f>J15/J20</f>
        <v>0.61981566820276501</v>
      </c>
      <c r="L15" s="9">
        <f>269/$L$3</f>
        <v>0.61981566820276501</v>
      </c>
      <c r="N15">
        <v>36</v>
      </c>
      <c r="O15" s="6">
        <f>N15/N20</f>
        <v>0.44444444444444442</v>
      </c>
      <c r="P15" s="6">
        <f>36/$P$3</f>
        <v>0.44444444444444442</v>
      </c>
      <c r="R15">
        <v>285</v>
      </c>
      <c r="S15" s="6">
        <f>R15/R20</f>
        <v>0.5089285714285714</v>
      </c>
      <c r="T15" s="6">
        <f>285/$T$3</f>
        <v>0.5089285714285714</v>
      </c>
      <c r="V15">
        <v>280</v>
      </c>
      <c r="W15" s="6">
        <f>V15/V20</f>
        <v>0.51851851851851849</v>
      </c>
      <c r="X15" s="6">
        <f>280/$X$3</f>
        <v>0.51851851851851849</v>
      </c>
      <c r="Z15">
        <v>43</v>
      </c>
      <c r="AA15" s="6">
        <f>Z15/Z20</f>
        <v>0.38053097345132741</v>
      </c>
      <c r="AB15" s="8">
        <f>43/$AB$3</f>
        <v>0.38053097345132741</v>
      </c>
      <c r="AD15">
        <v>93</v>
      </c>
      <c r="AE15" s="6">
        <f>AD15/AD20</f>
        <v>0.46969696969696972</v>
      </c>
      <c r="AF15" s="6">
        <f>93/$AF$3</f>
        <v>0.46969696969696972</v>
      </c>
      <c r="AH15">
        <v>120</v>
      </c>
      <c r="AI15" s="6">
        <f>AH15/AH20</f>
        <v>0.48582995951417002</v>
      </c>
      <c r="AJ15" s="6">
        <f>120/$AJ$3</f>
        <v>0.48582995951417002</v>
      </c>
      <c r="AL15">
        <v>141</v>
      </c>
      <c r="AM15" s="6">
        <f>AL15/AL20</f>
        <v>0.60775862068965514</v>
      </c>
      <c r="AN15" s="9">
        <f>141/$AN$3</f>
        <v>0.60775862068965514</v>
      </c>
      <c r="AO15" s="7"/>
      <c r="AP15">
        <v>101</v>
      </c>
      <c r="AQ15" s="6">
        <f>AP15/AP20</f>
        <v>0.543010752688172</v>
      </c>
      <c r="AR15" s="6">
        <f>101/$AR$3</f>
        <v>0.543010752688172</v>
      </c>
      <c r="AS15" s="7"/>
      <c r="AT15">
        <v>67</v>
      </c>
      <c r="AU15" s="6">
        <f>AT15/AT20</f>
        <v>0.54032258064516125</v>
      </c>
      <c r="AV15" s="6">
        <f>67/$AV$3</f>
        <v>0.54032258064516125</v>
      </c>
      <c r="AX15">
        <v>229</v>
      </c>
      <c r="AY15" s="6">
        <f>AX15/AX20</f>
        <v>0.53255813953488373</v>
      </c>
      <c r="AZ15" s="6">
        <f>229/$AZ$3</f>
        <v>0.53255813953488373</v>
      </c>
      <c r="BB15">
        <v>226</v>
      </c>
      <c r="BC15" s="6">
        <f>BB15/BB20</f>
        <v>0.5280373831775701</v>
      </c>
      <c r="BD15" s="6">
        <f>226/$BD$3</f>
        <v>0.5280373831775701</v>
      </c>
      <c r="BF15">
        <v>110</v>
      </c>
      <c r="BG15" s="6">
        <f>BF15/BF20</f>
        <v>0.45454545454545453</v>
      </c>
      <c r="BH15" s="8">
        <f>110/$BH$3</f>
        <v>0.45454545454545453</v>
      </c>
      <c r="BJ15">
        <v>205</v>
      </c>
      <c r="BK15" s="6">
        <f>BJ15/BJ20</f>
        <v>0.50868486352357323</v>
      </c>
      <c r="BL15" s="6">
        <f>205/$BL$3</f>
        <v>0.50868486352357323</v>
      </c>
      <c r="BN15">
        <v>216</v>
      </c>
      <c r="BO15" s="6">
        <f>BN15/BN20</f>
        <v>0.51063829787234039</v>
      </c>
      <c r="BP15" s="6">
        <f>216/$BP$3</f>
        <v>0.51063829787234039</v>
      </c>
      <c r="BR15">
        <v>144</v>
      </c>
      <c r="BS15" s="6">
        <f>BR15/BR20</f>
        <v>0.52554744525547448</v>
      </c>
      <c r="BT15" s="6">
        <f>144/$BT$3</f>
        <v>0.52554744525547448</v>
      </c>
      <c r="BV15">
        <v>159</v>
      </c>
      <c r="BW15" s="6">
        <f>BV15/BV20</f>
        <v>0.52131147540983602</v>
      </c>
      <c r="BX15" s="6">
        <f>159/$BX$3</f>
        <v>0.52131147540983602</v>
      </c>
      <c r="BZ15">
        <v>110</v>
      </c>
      <c r="CA15" s="6">
        <f>BZ15/BZ20</f>
        <v>0.49107142857142855</v>
      </c>
      <c r="CB15" s="6">
        <f>110/$CB$3</f>
        <v>0.49107142857142855</v>
      </c>
      <c r="CD15">
        <v>138</v>
      </c>
      <c r="CE15" s="6">
        <f>CD15/CD20</f>
        <v>0.57261410788381739</v>
      </c>
      <c r="CF15" s="9">
        <f>138/$CF$3</f>
        <v>0.57261410788381739</v>
      </c>
      <c r="CH15">
        <v>158</v>
      </c>
      <c r="CI15" s="6">
        <f>CH15/CH20</f>
        <v>0.47878787878787876</v>
      </c>
      <c r="CJ15" s="6">
        <f>158/$CJ$3</f>
        <v>0.47878787878787876</v>
      </c>
    </row>
    <row r="16" spans="1:89" x14ac:dyDescent="0.35">
      <c r="A16" s="1" t="s">
        <v>416</v>
      </c>
      <c r="B16">
        <v>270</v>
      </c>
      <c r="C16" s="6">
        <f>B16/B20</f>
        <v>0.24545454545454545</v>
      </c>
      <c r="D16" s="6">
        <f>270/$D$3</f>
        <v>0.24545454545454545</v>
      </c>
      <c r="F16">
        <v>270</v>
      </c>
      <c r="G16" s="6">
        <f>F16/F20</f>
        <v>0.29637760702524696</v>
      </c>
      <c r="H16" s="6">
        <f>270/$H$3</f>
        <v>0.29637760702524696</v>
      </c>
      <c r="J16">
        <v>100</v>
      </c>
      <c r="K16" s="6">
        <f>J16/J20</f>
        <v>0.2304147465437788</v>
      </c>
      <c r="L16" s="6">
        <f>100/$L$3</f>
        <v>0.2304147465437788</v>
      </c>
      <c r="N16">
        <v>27</v>
      </c>
      <c r="O16" s="6">
        <f>N16/N20</f>
        <v>0.33333333333333331</v>
      </c>
      <c r="P16" s="6">
        <f>27/$P$3</f>
        <v>0.33333333333333331</v>
      </c>
      <c r="R16">
        <v>143</v>
      </c>
      <c r="S16" s="6">
        <f>R16/R20</f>
        <v>0.25535714285714284</v>
      </c>
      <c r="T16" s="6">
        <f>143/$T$3</f>
        <v>0.25535714285714284</v>
      </c>
      <c r="V16">
        <v>127</v>
      </c>
      <c r="W16" s="6">
        <f>V16/V20</f>
        <v>0.23518518518518519</v>
      </c>
      <c r="X16" s="6">
        <f>127/$X$3</f>
        <v>0.23518518518518519</v>
      </c>
      <c r="Z16">
        <v>35</v>
      </c>
      <c r="AA16" s="6">
        <f>Z16/Z20</f>
        <v>0.30973451327433627</v>
      </c>
      <c r="AB16" s="6">
        <f>35/$AB$3</f>
        <v>0.30973451327433627</v>
      </c>
      <c r="AC16" s="7"/>
      <c r="AD16">
        <v>60</v>
      </c>
      <c r="AE16" s="6">
        <f>AD16/AD20</f>
        <v>0.30303030303030304</v>
      </c>
      <c r="AF16" s="9">
        <f>60/$AF$3</f>
        <v>0.30303030303030304</v>
      </c>
      <c r="AG16" s="7"/>
      <c r="AH16">
        <v>78</v>
      </c>
      <c r="AI16" s="6">
        <f>AH16/AH20</f>
        <v>0.31578947368421051</v>
      </c>
      <c r="AJ16" s="9">
        <f>78/$AJ$3</f>
        <v>0.31578947368421051</v>
      </c>
      <c r="AK16" s="7"/>
      <c r="AL16">
        <v>42</v>
      </c>
      <c r="AM16" s="6">
        <f>AL16/AL20</f>
        <v>0.18103448275862069</v>
      </c>
      <c r="AN16" s="8">
        <f>42/$AN$3</f>
        <v>0.18103448275862069</v>
      </c>
      <c r="AP16">
        <v>37</v>
      </c>
      <c r="AQ16" s="6">
        <f>AP16/AP20</f>
        <v>0.19892473118279569</v>
      </c>
      <c r="AR16" s="6">
        <f>37/$AR$3</f>
        <v>0.19892473118279569</v>
      </c>
      <c r="AT16">
        <v>18</v>
      </c>
      <c r="AU16" s="6">
        <f>AT16/AT20</f>
        <v>0.14516129032258066</v>
      </c>
      <c r="AV16" s="8">
        <f>18/$AV$3</f>
        <v>0.14516129032258066</v>
      </c>
      <c r="AX16">
        <v>88</v>
      </c>
      <c r="AY16" s="6">
        <f>AX16/AX20</f>
        <v>0.20465116279069767</v>
      </c>
      <c r="AZ16" s="6">
        <f>88/$AZ$3</f>
        <v>0.20465116279069767</v>
      </c>
      <c r="BB16">
        <v>112</v>
      </c>
      <c r="BC16" s="6">
        <f>BB16/BB20</f>
        <v>0.26168224299065418</v>
      </c>
      <c r="BD16" s="6">
        <f>112/$BD$3</f>
        <v>0.26168224299065418</v>
      </c>
      <c r="BF16">
        <v>70</v>
      </c>
      <c r="BG16" s="6">
        <f>BF16/BF20</f>
        <v>0.28925619834710742</v>
      </c>
      <c r="BH16" s="6">
        <f>70/$BH$3</f>
        <v>0.28925619834710742</v>
      </c>
      <c r="BJ16">
        <v>100</v>
      </c>
      <c r="BK16" s="6">
        <f>BJ16/BJ20</f>
        <v>0.24813895781637718</v>
      </c>
      <c r="BL16" s="6">
        <f>100/$BL$3</f>
        <v>0.24813895781637718</v>
      </c>
      <c r="BN16">
        <v>103</v>
      </c>
      <c r="BO16" s="6">
        <f>BN16/BN20</f>
        <v>0.24349881796690306</v>
      </c>
      <c r="BP16" s="6">
        <f>103/$BP$3</f>
        <v>0.24349881796690306</v>
      </c>
      <c r="BR16">
        <v>67</v>
      </c>
      <c r="BS16" s="6">
        <f>BR16/BR20</f>
        <v>0.24452554744525548</v>
      </c>
      <c r="BT16" s="6">
        <f>67/$BT$3</f>
        <v>0.24452554744525548</v>
      </c>
      <c r="BV16">
        <v>65</v>
      </c>
      <c r="BW16" s="6">
        <f>BV16/BV20</f>
        <v>0.21311475409836064</v>
      </c>
      <c r="BX16" s="6">
        <f>65/$BX$3</f>
        <v>0.21311475409836064</v>
      </c>
      <c r="BZ16">
        <v>63</v>
      </c>
      <c r="CA16" s="6">
        <f>BZ16/BZ20</f>
        <v>0.28125</v>
      </c>
      <c r="CB16" s="6">
        <f>63/$CB$3</f>
        <v>0.28125</v>
      </c>
      <c r="CD16">
        <v>53</v>
      </c>
      <c r="CE16" s="6">
        <f>CD16/CD20</f>
        <v>0.21991701244813278</v>
      </c>
      <c r="CF16" s="6">
        <f>53/$CF$3</f>
        <v>0.21991701244813278</v>
      </c>
      <c r="CH16">
        <v>89</v>
      </c>
      <c r="CI16" s="6">
        <f>CH16/CH20</f>
        <v>0.26969696969696971</v>
      </c>
      <c r="CJ16" s="6">
        <f>89/$CJ$3</f>
        <v>0.26969696969696971</v>
      </c>
    </row>
    <row r="17" spans="1:88" x14ac:dyDescent="0.35">
      <c r="A17" s="1" t="s">
        <v>417</v>
      </c>
      <c r="B17">
        <v>76</v>
      </c>
      <c r="C17" s="6">
        <f>B17/B20</f>
        <v>6.9090909090909092E-2</v>
      </c>
      <c r="D17" s="6">
        <f>76/$D$3</f>
        <v>6.9090909090909092E-2</v>
      </c>
      <c r="F17">
        <v>76</v>
      </c>
      <c r="G17" s="6">
        <f>F17/F20</f>
        <v>8.3424807903402856E-2</v>
      </c>
      <c r="H17" s="6">
        <f>76/$H$3</f>
        <v>8.3424807903402856E-2</v>
      </c>
      <c r="J17">
        <v>28</v>
      </c>
      <c r="K17" s="6">
        <f>J17/J20</f>
        <v>6.4516129032258063E-2</v>
      </c>
      <c r="L17" s="6">
        <f>28/$L$3</f>
        <v>6.4516129032258063E-2</v>
      </c>
      <c r="N17">
        <v>4</v>
      </c>
      <c r="O17" s="6">
        <f>N17/N20</f>
        <v>4.9382716049382713E-2</v>
      </c>
      <c r="P17" s="6">
        <f>4/$P$3</f>
        <v>4.9382716049382713E-2</v>
      </c>
      <c r="R17">
        <v>37</v>
      </c>
      <c r="S17" s="6">
        <f>R17/R20</f>
        <v>6.6071428571428573E-2</v>
      </c>
      <c r="T17" s="6">
        <f>37/$T$3</f>
        <v>6.6071428571428573E-2</v>
      </c>
      <c r="V17">
        <v>39</v>
      </c>
      <c r="W17" s="6">
        <f>V17/V20</f>
        <v>7.2222222222222215E-2</v>
      </c>
      <c r="X17" s="6">
        <f>39/$X$3</f>
        <v>7.2222222222222215E-2</v>
      </c>
      <c r="Z17">
        <v>13</v>
      </c>
      <c r="AA17" s="6">
        <f>Z17/Z20</f>
        <v>0.11504424778761062</v>
      </c>
      <c r="AB17" s="6">
        <f>13/$AB$3</f>
        <v>0.11504424778761062</v>
      </c>
      <c r="AD17">
        <v>15</v>
      </c>
      <c r="AE17" s="6">
        <f>AD17/AD20</f>
        <v>7.575757575757576E-2</v>
      </c>
      <c r="AF17" s="6">
        <f>15/$AF$3</f>
        <v>7.575757575757576E-2</v>
      </c>
      <c r="AH17">
        <v>14</v>
      </c>
      <c r="AI17" s="6">
        <f>AH17/AH20</f>
        <v>5.6680161943319839E-2</v>
      </c>
      <c r="AJ17" s="6">
        <f>14/$AJ$3</f>
        <v>5.6680161943319839E-2</v>
      </c>
      <c r="AL17">
        <v>19</v>
      </c>
      <c r="AM17" s="6">
        <f>AL17/AL20</f>
        <v>8.1896551724137928E-2</v>
      </c>
      <c r="AN17" s="6">
        <f>19/$AN$3</f>
        <v>8.1896551724137928E-2</v>
      </c>
      <c r="AP17">
        <v>11</v>
      </c>
      <c r="AQ17" s="6">
        <f>AP17/AP20</f>
        <v>5.9139784946236562E-2</v>
      </c>
      <c r="AR17" s="6">
        <f>11/$AR$3</f>
        <v>5.9139784946236562E-2</v>
      </c>
      <c r="AT17">
        <v>4</v>
      </c>
      <c r="AU17" s="6">
        <f>AT17/AT20</f>
        <v>3.2258064516129031E-2</v>
      </c>
      <c r="AV17" s="6">
        <f>4/$AV$3</f>
        <v>3.2258064516129031E-2</v>
      </c>
      <c r="AX17">
        <v>27</v>
      </c>
      <c r="AY17" s="6">
        <f>AX17/AX20</f>
        <v>6.2790697674418611E-2</v>
      </c>
      <c r="AZ17" s="6">
        <f>27/$AZ$3</f>
        <v>6.2790697674418611E-2</v>
      </c>
      <c r="BB17">
        <v>31</v>
      </c>
      <c r="BC17" s="6">
        <f>BB17/BB20</f>
        <v>7.2429906542056069E-2</v>
      </c>
      <c r="BD17" s="6">
        <f>31/$BD$3</f>
        <v>7.2429906542056069E-2</v>
      </c>
      <c r="BF17">
        <v>18</v>
      </c>
      <c r="BG17" s="6">
        <f>BF17/BF20</f>
        <v>7.43801652892562E-2</v>
      </c>
      <c r="BH17" s="6">
        <f>18/$BH$3</f>
        <v>7.43801652892562E-2</v>
      </c>
      <c r="BJ17">
        <v>26</v>
      </c>
      <c r="BK17" s="6">
        <f>BJ17/BJ20</f>
        <v>6.4516129032258063E-2</v>
      </c>
      <c r="BL17" s="6">
        <f>26/$BL$3</f>
        <v>6.4516129032258063E-2</v>
      </c>
      <c r="BN17">
        <v>31</v>
      </c>
      <c r="BO17" s="6">
        <f>BN17/BN20</f>
        <v>7.328605200945626E-2</v>
      </c>
      <c r="BP17" s="6">
        <f>31/$BP$3</f>
        <v>7.328605200945626E-2</v>
      </c>
      <c r="BR17">
        <v>19</v>
      </c>
      <c r="BS17" s="6">
        <f>BR17/BR20</f>
        <v>6.9343065693430656E-2</v>
      </c>
      <c r="BT17" s="6">
        <f>19/$BT$3</f>
        <v>6.9343065693430656E-2</v>
      </c>
      <c r="BV17">
        <v>25</v>
      </c>
      <c r="BW17" s="6">
        <f>BV17/BV20</f>
        <v>8.1967213114754092E-2</v>
      </c>
      <c r="BX17" s="6">
        <f>25/$BX$3</f>
        <v>8.1967213114754092E-2</v>
      </c>
      <c r="BZ17">
        <v>18</v>
      </c>
      <c r="CA17" s="6">
        <f>BZ17/BZ20</f>
        <v>8.0357142857142863E-2</v>
      </c>
      <c r="CB17" s="6">
        <f>18/$CB$3</f>
        <v>8.0357142857142863E-2</v>
      </c>
      <c r="CD17">
        <v>10</v>
      </c>
      <c r="CE17" s="6">
        <f>CD17/CD20</f>
        <v>4.1493775933609957E-2</v>
      </c>
      <c r="CF17" s="6">
        <f>10/$CF$3</f>
        <v>4.1493775933609957E-2</v>
      </c>
      <c r="CH17">
        <v>23</v>
      </c>
      <c r="CI17" s="6">
        <f>CH17/CH20</f>
        <v>6.9696969696969702E-2</v>
      </c>
      <c r="CJ17" s="6">
        <f>23/$CJ$3</f>
        <v>6.9696969696969702E-2</v>
      </c>
    </row>
    <row r="18" spans="1:88" x14ac:dyDescent="0.35">
      <c r="A18" s="1" t="s">
        <v>418</v>
      </c>
      <c r="B18">
        <v>135</v>
      </c>
      <c r="C18" s="6">
        <f>B18/B20</f>
        <v>0.12272727272727273</v>
      </c>
      <c r="D18" s="6">
        <f>135/$D$3</f>
        <v>0.12272727272727273</v>
      </c>
      <c r="F18">
        <v>0</v>
      </c>
      <c r="G18" s="6">
        <f>F18/F20</f>
        <v>0</v>
      </c>
      <c r="H18" s="8">
        <f>0/$H$3</f>
        <v>0</v>
      </c>
      <c r="J18">
        <v>28</v>
      </c>
      <c r="K18" s="6">
        <f>J18/J20</f>
        <v>6.4516129032258063E-2</v>
      </c>
      <c r="L18" s="8">
        <f>28/$L$3</f>
        <v>6.4516129032258063E-2</v>
      </c>
      <c r="N18">
        <v>9</v>
      </c>
      <c r="O18" s="6">
        <f>N18/N20</f>
        <v>0.1111111111111111</v>
      </c>
      <c r="P18" s="6">
        <f>9/$P$3</f>
        <v>0.1111111111111111</v>
      </c>
      <c r="R18">
        <v>68</v>
      </c>
      <c r="S18" s="6">
        <f>R18/R20</f>
        <v>0.12142857142857143</v>
      </c>
      <c r="T18" s="6">
        <f>68/$T$3</f>
        <v>0.12142857142857143</v>
      </c>
      <c r="V18">
        <v>67</v>
      </c>
      <c r="W18" s="6">
        <f>V18/V20</f>
        <v>0.12407407407407407</v>
      </c>
      <c r="X18" s="6">
        <f>67/$X$3</f>
        <v>0.12407407407407407</v>
      </c>
      <c r="Z18">
        <v>18</v>
      </c>
      <c r="AA18" s="6">
        <f>Z18/Z20</f>
        <v>0.15929203539823009</v>
      </c>
      <c r="AB18" s="6">
        <f>18/$AB$3</f>
        <v>0.15929203539823009</v>
      </c>
      <c r="AD18">
        <v>23</v>
      </c>
      <c r="AE18" s="6">
        <f>AD18/AD20</f>
        <v>0.11616161616161616</v>
      </c>
      <c r="AF18" s="6">
        <f>23/$AF$3</f>
        <v>0.11616161616161616</v>
      </c>
      <c r="AH18">
        <v>28</v>
      </c>
      <c r="AI18" s="6">
        <f>AH18/AH20</f>
        <v>0.11336032388663968</v>
      </c>
      <c r="AJ18" s="6">
        <f>28/$AJ$3</f>
        <v>0.11336032388663968</v>
      </c>
      <c r="AL18">
        <v>23</v>
      </c>
      <c r="AM18" s="6">
        <f>AL18/AL20</f>
        <v>9.9137931034482762E-2</v>
      </c>
      <c r="AN18" s="6">
        <f>23/$AN$3</f>
        <v>9.9137931034482762E-2</v>
      </c>
      <c r="AP18">
        <v>21</v>
      </c>
      <c r="AQ18" s="6">
        <f>AP18/AP20</f>
        <v>0.11290322580645161</v>
      </c>
      <c r="AR18" s="6">
        <f>21/$AR$3</f>
        <v>0.11290322580645161</v>
      </c>
      <c r="AT18">
        <v>22</v>
      </c>
      <c r="AU18" s="6">
        <f>AT18/AT20</f>
        <v>0.17741935483870969</v>
      </c>
      <c r="AV18" s="9">
        <f>22/$AV$3</f>
        <v>0.17741935483870969</v>
      </c>
      <c r="AX18">
        <v>64</v>
      </c>
      <c r="AY18" s="6">
        <f>AX18/AX20</f>
        <v>0.14883720930232558</v>
      </c>
      <c r="AZ18" s="6">
        <f>64/$AZ$3</f>
        <v>0.14883720930232558</v>
      </c>
      <c r="BB18">
        <v>40</v>
      </c>
      <c r="BC18" s="6">
        <f>BB18/BB20</f>
        <v>9.3457943925233641E-2</v>
      </c>
      <c r="BD18" s="6">
        <f>40/$BD$3</f>
        <v>9.3457943925233641E-2</v>
      </c>
      <c r="BF18">
        <v>31</v>
      </c>
      <c r="BG18" s="6">
        <f>BF18/BF20</f>
        <v>0.128099173553719</v>
      </c>
      <c r="BH18" s="6">
        <f>31/$BH$3</f>
        <v>0.128099173553719</v>
      </c>
      <c r="BJ18">
        <v>57</v>
      </c>
      <c r="BK18" s="6">
        <f>BJ18/BJ20</f>
        <v>0.14143920595533499</v>
      </c>
      <c r="BL18" s="6">
        <f>57/$BL$3</f>
        <v>0.14143920595533499</v>
      </c>
      <c r="BN18">
        <v>47</v>
      </c>
      <c r="BO18" s="6">
        <f>BN18/BN20</f>
        <v>0.1111111111111111</v>
      </c>
      <c r="BP18" s="6">
        <f>47/$BP$3</f>
        <v>0.1111111111111111</v>
      </c>
      <c r="BR18">
        <v>31</v>
      </c>
      <c r="BS18" s="6">
        <f>BR18/BR20</f>
        <v>0.11313868613138686</v>
      </c>
      <c r="BT18" s="6">
        <f>31/$BT$3</f>
        <v>0.11313868613138686</v>
      </c>
      <c r="BV18">
        <v>37</v>
      </c>
      <c r="BW18" s="6">
        <f>BV18/BV20</f>
        <v>0.12131147540983607</v>
      </c>
      <c r="BX18" s="6">
        <f>37/$BX$3</f>
        <v>0.12131147540983607</v>
      </c>
      <c r="BZ18">
        <v>27</v>
      </c>
      <c r="CA18" s="6">
        <f>BZ18/BZ20</f>
        <v>0.12053571428571429</v>
      </c>
      <c r="CB18" s="6">
        <f>27/$CB$3</f>
        <v>0.12053571428571429</v>
      </c>
      <c r="CD18">
        <v>23</v>
      </c>
      <c r="CE18" s="6">
        <f>CD18/CD20</f>
        <v>9.5435684647302899E-2</v>
      </c>
      <c r="CF18" s="6">
        <f>23/$CF$3</f>
        <v>9.5435684647302899E-2</v>
      </c>
      <c r="CH18">
        <v>48</v>
      </c>
      <c r="CI18" s="6">
        <f>CH18/CH20</f>
        <v>0.14545454545454545</v>
      </c>
      <c r="CJ18" s="6">
        <f>48/$CJ$3</f>
        <v>0.14545454545454545</v>
      </c>
    </row>
    <row r="19" spans="1:88" x14ac:dyDescent="0.35">
      <c r="A19" s="1" t="s">
        <v>409</v>
      </c>
      <c r="B19">
        <v>54</v>
      </c>
      <c r="C19" s="6">
        <f>B19/B20</f>
        <v>4.9090909090909088E-2</v>
      </c>
      <c r="D19" s="6">
        <f>54/$D$3</f>
        <v>4.9090909090909088E-2</v>
      </c>
      <c r="F19">
        <v>0</v>
      </c>
      <c r="G19" s="6">
        <f>F19/F20</f>
        <v>0</v>
      </c>
      <c r="H19" s="6">
        <f>0/$H$3</f>
        <v>0</v>
      </c>
      <c r="J19">
        <v>9</v>
      </c>
      <c r="K19" s="6">
        <f>J19/J20</f>
        <v>2.0737327188940093E-2</v>
      </c>
      <c r="L19" s="6">
        <f>9/$L$3</f>
        <v>2.0737327188940093E-2</v>
      </c>
      <c r="N19">
        <v>5</v>
      </c>
      <c r="O19" s="6">
        <f>N19/N20</f>
        <v>6.1728395061728392E-2</v>
      </c>
      <c r="P19" s="6">
        <f>5/$P$3</f>
        <v>6.1728395061728392E-2</v>
      </c>
      <c r="R19">
        <v>27</v>
      </c>
      <c r="S19" s="6">
        <f>R19/R20</f>
        <v>4.8214285714285716E-2</v>
      </c>
      <c r="T19" s="6">
        <f>27/$T$3</f>
        <v>4.8214285714285716E-2</v>
      </c>
      <c r="V19">
        <v>27</v>
      </c>
      <c r="W19" s="6">
        <f>V19/V20</f>
        <v>0.05</v>
      </c>
      <c r="X19" s="6">
        <f>27/$X$3</f>
        <v>0.05</v>
      </c>
      <c r="Z19">
        <v>4</v>
      </c>
      <c r="AA19" s="6">
        <f>Z19/Z20</f>
        <v>3.5398230088495575E-2</v>
      </c>
      <c r="AB19" s="6">
        <f>4/$AB$3</f>
        <v>3.5398230088495575E-2</v>
      </c>
      <c r="AD19">
        <v>7</v>
      </c>
      <c r="AE19" s="6">
        <f>AD19/AD20</f>
        <v>3.5353535353535352E-2</v>
      </c>
      <c r="AF19" s="6">
        <f>7/$AF$3</f>
        <v>3.5353535353535352E-2</v>
      </c>
      <c r="AH19">
        <v>7</v>
      </c>
      <c r="AI19" s="6">
        <f>AH19/AH20</f>
        <v>2.8340080971659919E-2</v>
      </c>
      <c r="AJ19" s="6">
        <f>7/$AJ$3</f>
        <v>2.8340080971659919E-2</v>
      </c>
      <c r="AL19">
        <v>7</v>
      </c>
      <c r="AM19" s="6">
        <f>AL19/AL20</f>
        <v>3.017241379310345E-2</v>
      </c>
      <c r="AN19" s="6">
        <f>7/$AN$3</f>
        <v>3.017241379310345E-2</v>
      </c>
      <c r="AP19">
        <v>16</v>
      </c>
      <c r="AQ19" s="6">
        <f>AP19/AP20</f>
        <v>8.6021505376344093E-2</v>
      </c>
      <c r="AR19" s="6">
        <f>16/$AR$3</f>
        <v>8.6021505376344093E-2</v>
      </c>
      <c r="AT19">
        <v>13</v>
      </c>
      <c r="AU19" s="6">
        <f>AT19/AT20</f>
        <v>0.10483870967741936</v>
      </c>
      <c r="AV19" s="6">
        <f>13/$AV$3</f>
        <v>0.10483870967741936</v>
      </c>
      <c r="AW19" s="7"/>
      <c r="AX19">
        <v>22</v>
      </c>
      <c r="AY19" s="6">
        <f>AX19/AX20</f>
        <v>5.1162790697674418E-2</v>
      </c>
      <c r="AZ19" s="6">
        <f>22/$AZ$3</f>
        <v>5.1162790697674418E-2</v>
      </c>
      <c r="BB19">
        <v>19</v>
      </c>
      <c r="BC19" s="6">
        <f>BB19/BB20</f>
        <v>4.4392523364485979E-2</v>
      </c>
      <c r="BD19" s="6">
        <f>19/$BD$3</f>
        <v>4.4392523364485979E-2</v>
      </c>
      <c r="BF19">
        <v>13</v>
      </c>
      <c r="BG19" s="6">
        <f>BF19/BF20</f>
        <v>5.3719008264462811E-2</v>
      </c>
      <c r="BH19" s="6">
        <f>13/$BH$3</f>
        <v>5.3719008264462811E-2</v>
      </c>
      <c r="BJ19">
        <v>15</v>
      </c>
      <c r="BK19" s="6">
        <f>BJ19/BJ20</f>
        <v>3.7220843672456573E-2</v>
      </c>
      <c r="BL19" s="6">
        <f>15/$BL$3</f>
        <v>3.7220843672456573E-2</v>
      </c>
      <c r="BN19">
        <v>26</v>
      </c>
      <c r="BO19" s="6">
        <f>BN19/BN20</f>
        <v>6.1465721040189124E-2</v>
      </c>
      <c r="BP19" s="6">
        <f>26/$BP$3</f>
        <v>6.1465721040189124E-2</v>
      </c>
      <c r="BR19">
        <v>13</v>
      </c>
      <c r="BS19" s="6">
        <f>BR19/BR20</f>
        <v>4.7445255474452552E-2</v>
      </c>
      <c r="BT19" s="6">
        <f>13/$BT$3</f>
        <v>4.7445255474452552E-2</v>
      </c>
      <c r="BV19">
        <v>19</v>
      </c>
      <c r="BW19" s="6">
        <f>BV19/BV20</f>
        <v>6.2295081967213117E-2</v>
      </c>
      <c r="BX19" s="6">
        <f>19/$BX$3</f>
        <v>6.2295081967213117E-2</v>
      </c>
      <c r="BZ19">
        <v>6</v>
      </c>
      <c r="CA19" s="6">
        <f>BZ19/BZ20</f>
        <v>2.6785714285714284E-2</v>
      </c>
      <c r="CB19" s="6">
        <f>6/$CB$3</f>
        <v>2.6785714285714284E-2</v>
      </c>
      <c r="CD19">
        <v>17</v>
      </c>
      <c r="CE19" s="6">
        <f>CD19/CD20</f>
        <v>7.0539419087136929E-2</v>
      </c>
      <c r="CF19" s="6">
        <f>17/$CF$3</f>
        <v>7.0539419087136929E-2</v>
      </c>
      <c r="CH19">
        <v>12</v>
      </c>
      <c r="CI19" s="6">
        <f>CH19/CH20</f>
        <v>3.6363636363636362E-2</v>
      </c>
      <c r="CJ19" s="6">
        <f>12/$CJ$3</f>
        <v>3.6363636363636362E-2</v>
      </c>
    </row>
    <row r="20" spans="1:88" s="10" customFormat="1" x14ac:dyDescent="0.35">
      <c r="A20" s="11" t="s">
        <v>411</v>
      </c>
      <c r="B20" s="10">
        <v>1100</v>
      </c>
      <c r="F20" s="10">
        <v>911</v>
      </c>
      <c r="J20" s="10">
        <v>434</v>
      </c>
      <c r="N20" s="10">
        <v>81</v>
      </c>
      <c r="R20" s="10">
        <v>560</v>
      </c>
      <c r="V20" s="10">
        <v>540</v>
      </c>
      <c r="Z20" s="10">
        <v>113</v>
      </c>
      <c r="AD20" s="10">
        <v>198</v>
      </c>
      <c r="AH20" s="10">
        <v>247</v>
      </c>
      <c r="AL20" s="10">
        <v>232</v>
      </c>
      <c r="AP20" s="10">
        <v>186</v>
      </c>
      <c r="AT20" s="10">
        <v>124</v>
      </c>
      <c r="AX20" s="10">
        <v>430</v>
      </c>
      <c r="BB20" s="10">
        <v>428</v>
      </c>
      <c r="BF20" s="10">
        <v>242</v>
      </c>
      <c r="BJ20" s="10">
        <v>403</v>
      </c>
      <c r="BN20" s="10">
        <v>423</v>
      </c>
      <c r="BR20" s="10">
        <v>274</v>
      </c>
      <c r="BV20" s="10">
        <v>305</v>
      </c>
      <c r="BZ20" s="10">
        <v>224</v>
      </c>
      <c r="CD20" s="10">
        <v>241</v>
      </c>
      <c r="CH20" s="10">
        <v>330</v>
      </c>
    </row>
    <row r="21" spans="1:88" hidden="1" x14ac:dyDescent="0.35">
      <c r="A21" s="12" t="s">
        <v>412</v>
      </c>
      <c r="B21">
        <v>0</v>
      </c>
      <c r="F21">
        <v>0</v>
      </c>
      <c r="J21">
        <v>0</v>
      </c>
      <c r="N21">
        <v>0</v>
      </c>
      <c r="R21">
        <v>0</v>
      </c>
      <c r="V21">
        <v>0</v>
      </c>
      <c r="Z21">
        <v>0</v>
      </c>
      <c r="AD21">
        <v>0</v>
      </c>
      <c r="AH21">
        <v>0</v>
      </c>
      <c r="AL21">
        <v>0</v>
      </c>
      <c r="AP21">
        <v>0</v>
      </c>
      <c r="AT21">
        <v>0</v>
      </c>
      <c r="AX21">
        <v>0</v>
      </c>
      <c r="BB21">
        <v>0</v>
      </c>
      <c r="BF21">
        <v>0</v>
      </c>
      <c r="BJ21">
        <v>0</v>
      </c>
      <c r="BN21">
        <v>0</v>
      </c>
      <c r="BR21">
        <v>0</v>
      </c>
      <c r="BV21">
        <v>0</v>
      </c>
      <c r="BZ21">
        <v>0</v>
      </c>
      <c r="CD21">
        <v>0</v>
      </c>
      <c r="CH21">
        <v>0</v>
      </c>
    </row>
    <row r="22" spans="1:88" hidden="1" x14ac:dyDescent="0.35">
      <c r="A22" s="12" t="s">
        <v>413</v>
      </c>
      <c r="B22">
        <v>0</v>
      </c>
      <c r="F22">
        <v>0</v>
      </c>
      <c r="J22">
        <v>0</v>
      </c>
      <c r="N22">
        <v>0</v>
      </c>
      <c r="R22">
        <v>0</v>
      </c>
      <c r="V22">
        <v>0</v>
      </c>
      <c r="Z22">
        <v>0</v>
      </c>
      <c r="AD22">
        <v>0</v>
      </c>
      <c r="AH22">
        <v>0</v>
      </c>
      <c r="AL22">
        <v>0</v>
      </c>
      <c r="AP22">
        <v>0</v>
      </c>
      <c r="AT22">
        <v>0</v>
      </c>
      <c r="AX22">
        <v>0</v>
      </c>
      <c r="BB22">
        <v>0</v>
      </c>
      <c r="BF22">
        <v>0</v>
      </c>
      <c r="BJ22">
        <v>0</v>
      </c>
      <c r="BN22">
        <v>0</v>
      </c>
      <c r="BR22">
        <v>0</v>
      </c>
      <c r="BV22">
        <v>0</v>
      </c>
      <c r="BZ22">
        <v>0</v>
      </c>
      <c r="CD22">
        <v>0</v>
      </c>
      <c r="CH22">
        <v>0</v>
      </c>
    </row>
    <row r="24" spans="1:88" x14ac:dyDescent="0.35">
      <c r="AB24" s="2" t="s">
        <v>3</v>
      </c>
      <c r="AF24" s="2" t="s">
        <v>4</v>
      </c>
      <c r="AJ24" s="2" t="s">
        <v>5</v>
      </c>
      <c r="AN24" s="2" t="s">
        <v>6</v>
      </c>
      <c r="AR24" s="2" t="s">
        <v>7</v>
      </c>
      <c r="AV24" s="2" t="s">
        <v>8</v>
      </c>
      <c r="AZ24" s="2" t="s">
        <v>3</v>
      </c>
      <c r="BD24" s="2" t="s">
        <v>4</v>
      </c>
      <c r="BH24" s="2" t="s">
        <v>5</v>
      </c>
      <c r="BL24" s="2" t="s">
        <v>3</v>
      </c>
      <c r="BP24" s="2" t="s">
        <v>4</v>
      </c>
      <c r="BT24" s="2" t="s">
        <v>5</v>
      </c>
      <c r="BX24" s="2" t="s">
        <v>3</v>
      </c>
      <c r="CB24" s="2" t="s">
        <v>4</v>
      </c>
      <c r="CF24" s="2" t="s">
        <v>5</v>
      </c>
      <c r="CJ24" s="2" t="s">
        <v>6</v>
      </c>
    </row>
    <row r="25" spans="1:88" s="3" customFormat="1" x14ac:dyDescent="0.35">
      <c r="A25" s="3" t="s">
        <v>419</v>
      </c>
      <c r="D25" s="5" t="s">
        <v>406</v>
      </c>
      <c r="H25" s="5" t="s">
        <v>406</v>
      </c>
      <c r="L25" s="5" t="s">
        <v>406</v>
      </c>
      <c r="P25" s="5" t="s">
        <v>406</v>
      </c>
      <c r="T25" s="5" t="s">
        <v>406</v>
      </c>
      <c r="X25" s="5" t="s">
        <v>406</v>
      </c>
      <c r="AB25" s="5" t="s">
        <v>406</v>
      </c>
      <c r="AF25" s="5" t="s">
        <v>406</v>
      </c>
      <c r="AJ25" s="5" t="s">
        <v>406</v>
      </c>
      <c r="AN25" s="5" t="s">
        <v>406</v>
      </c>
      <c r="AR25" s="5" t="s">
        <v>406</v>
      </c>
      <c r="AV25" s="5" t="s">
        <v>406</v>
      </c>
      <c r="AZ25" s="5" t="s">
        <v>406</v>
      </c>
      <c r="BD25" s="5" t="s">
        <v>406</v>
      </c>
      <c r="BH25" s="5" t="s">
        <v>406</v>
      </c>
      <c r="BL25" s="5" t="s">
        <v>406</v>
      </c>
      <c r="BP25" s="5" t="s">
        <v>406</v>
      </c>
      <c r="BT25" s="5" t="s">
        <v>406</v>
      </c>
      <c r="BX25" s="5" t="s">
        <v>406</v>
      </c>
      <c r="CB25" s="5" t="s">
        <v>406</v>
      </c>
      <c r="CF25" s="5" t="s">
        <v>406</v>
      </c>
      <c r="CJ25" s="5" t="s">
        <v>406</v>
      </c>
    </row>
    <row r="26" spans="1:88" x14ac:dyDescent="0.35">
      <c r="A26" s="1" t="s">
        <v>420</v>
      </c>
      <c r="B26">
        <v>521</v>
      </c>
      <c r="C26" s="6">
        <f>B26/B76</f>
        <v>0.47363636363636363</v>
      </c>
      <c r="D26" s="6">
        <f>521/$D$3</f>
        <v>0.47363636363636363</v>
      </c>
      <c r="F26">
        <v>440</v>
      </c>
      <c r="G26" s="6">
        <f>F26/F76</f>
        <v>0.48298572996706918</v>
      </c>
      <c r="H26" s="6">
        <f>440/$H$3</f>
        <v>0.48298572996706918</v>
      </c>
      <c r="J26">
        <v>169</v>
      </c>
      <c r="K26" s="6">
        <f>J26/J76</f>
        <v>0.38940092165898615</v>
      </c>
      <c r="L26" s="8">
        <f>169/$L$3</f>
        <v>0.38940092165898615</v>
      </c>
      <c r="N26">
        <v>45</v>
      </c>
      <c r="O26" s="6">
        <f>N26/N76</f>
        <v>0.55555555555555558</v>
      </c>
      <c r="P26" s="6">
        <f>45/$P$3</f>
        <v>0.55555555555555558</v>
      </c>
      <c r="R26">
        <v>261</v>
      </c>
      <c r="S26" s="6">
        <f>R26/R76</f>
        <v>0.46607142857142858</v>
      </c>
      <c r="T26" s="6">
        <f>261/$T$3</f>
        <v>0.46607142857142858</v>
      </c>
      <c r="V26">
        <v>260</v>
      </c>
      <c r="W26" s="6">
        <f>V26/V76</f>
        <v>0.48148148148148145</v>
      </c>
      <c r="X26" s="6">
        <f>260/$X$3</f>
        <v>0.48148148148148145</v>
      </c>
      <c r="Z26">
        <v>38</v>
      </c>
      <c r="AA26" s="6">
        <f>Z26/Z76</f>
        <v>0.33628318584070799</v>
      </c>
      <c r="AB26" s="8">
        <f>38/$AB$3</f>
        <v>0.33628318584070799</v>
      </c>
      <c r="AD26">
        <v>77</v>
      </c>
      <c r="AE26" s="6">
        <f>AD26/AD76</f>
        <v>0.3888888888888889</v>
      </c>
      <c r="AF26" s="8">
        <f>77/$AF$3</f>
        <v>0.3888888888888889</v>
      </c>
      <c r="AH26">
        <v>116</v>
      </c>
      <c r="AI26" s="6">
        <f>AH26/AH76</f>
        <v>0.46963562753036436</v>
      </c>
      <c r="AJ26" s="6">
        <f>116/$AJ$3</f>
        <v>0.46963562753036436</v>
      </c>
      <c r="AL26">
        <v>128</v>
      </c>
      <c r="AM26" s="6">
        <f>AL26/AL76</f>
        <v>0.55172413793103448</v>
      </c>
      <c r="AN26" s="9">
        <f>128/$AN$3</f>
        <v>0.55172413793103448</v>
      </c>
      <c r="AO26" s="7"/>
      <c r="AP26">
        <v>101</v>
      </c>
      <c r="AQ26" s="6">
        <f>AP26/AP76</f>
        <v>0.543010752688172</v>
      </c>
      <c r="AR26" s="9">
        <f>101/$AR$3</f>
        <v>0.543010752688172</v>
      </c>
      <c r="AS26" s="7"/>
      <c r="AT26">
        <v>61</v>
      </c>
      <c r="AU26" s="6">
        <f>AT26/AT76</f>
        <v>0.49193548387096775</v>
      </c>
      <c r="AV26" s="6">
        <f>61/$AV$3</f>
        <v>0.49193548387096775</v>
      </c>
      <c r="AX26">
        <v>207</v>
      </c>
      <c r="AY26" s="6">
        <f>AX26/AX76</f>
        <v>0.4813953488372093</v>
      </c>
      <c r="AZ26" s="6">
        <f>207/$AZ$3</f>
        <v>0.4813953488372093</v>
      </c>
      <c r="BB26">
        <v>203</v>
      </c>
      <c r="BC26" s="6">
        <f>BB26/BB76</f>
        <v>0.47429906542056077</v>
      </c>
      <c r="BD26" s="6">
        <f>203/$BD$3</f>
        <v>0.47429906542056077</v>
      </c>
      <c r="BF26">
        <v>111</v>
      </c>
      <c r="BG26" s="6">
        <f>BF26/BF76</f>
        <v>0.45867768595041325</v>
      </c>
      <c r="BH26" s="6">
        <f>111/$BH$3</f>
        <v>0.45867768595041325</v>
      </c>
      <c r="BJ26">
        <v>187</v>
      </c>
      <c r="BK26" s="6">
        <f>BJ26/BJ76</f>
        <v>0.4640198511166253</v>
      </c>
      <c r="BL26" s="6">
        <f>187/$BL$3</f>
        <v>0.4640198511166253</v>
      </c>
      <c r="BN26">
        <v>199</v>
      </c>
      <c r="BO26" s="6">
        <f>BN26/BN76</f>
        <v>0.47044917257683216</v>
      </c>
      <c r="BP26" s="6">
        <f>199/$BP$3</f>
        <v>0.47044917257683216</v>
      </c>
      <c r="BR26">
        <v>135</v>
      </c>
      <c r="BS26" s="6">
        <f>BR26/BR76</f>
        <v>0.49270072992700731</v>
      </c>
      <c r="BT26" s="6">
        <f>135/$BT$3</f>
        <v>0.49270072992700731</v>
      </c>
      <c r="BV26">
        <v>148</v>
      </c>
      <c r="BW26" s="6">
        <f>BV26/BV76</f>
        <v>0.48524590163934428</v>
      </c>
      <c r="BX26" s="6">
        <f>148/$BX$3</f>
        <v>0.48524590163934428</v>
      </c>
      <c r="BZ26">
        <v>102</v>
      </c>
      <c r="CA26" s="6">
        <f>BZ26/BZ76</f>
        <v>0.45535714285714285</v>
      </c>
      <c r="CB26" s="6">
        <f>102/$CB$3</f>
        <v>0.45535714285714285</v>
      </c>
      <c r="CD26">
        <v>120</v>
      </c>
      <c r="CE26" s="6">
        <f>CD26/CD76</f>
        <v>0.49792531120331951</v>
      </c>
      <c r="CF26" s="6">
        <f>120/$CF$3</f>
        <v>0.49792531120331951</v>
      </c>
      <c r="CH26">
        <v>151</v>
      </c>
      <c r="CI26" s="6">
        <f>CH26/CH76</f>
        <v>0.45757575757575758</v>
      </c>
      <c r="CJ26" s="6">
        <f>151/$CJ$3</f>
        <v>0.45757575757575758</v>
      </c>
    </row>
    <row r="27" spans="1:88" x14ac:dyDescent="0.35">
      <c r="A27" s="1" t="s">
        <v>421</v>
      </c>
      <c r="B27">
        <v>44</v>
      </c>
      <c r="C27" s="6">
        <f>B27/B76</f>
        <v>0.04</v>
      </c>
      <c r="D27" s="6">
        <f>44/$D$3</f>
        <v>0.04</v>
      </c>
      <c r="F27">
        <v>37</v>
      </c>
      <c r="G27" s="6">
        <f>F27/F76</f>
        <v>4.0614709110867182E-2</v>
      </c>
      <c r="H27" s="6">
        <f>37/$H$3</f>
        <v>4.0614709110867182E-2</v>
      </c>
      <c r="J27">
        <v>26</v>
      </c>
      <c r="K27" s="6">
        <f>J27/J76</f>
        <v>5.9907834101382486E-2</v>
      </c>
      <c r="L27" s="6">
        <f>26/$L$3</f>
        <v>5.9907834101382486E-2</v>
      </c>
      <c r="N27">
        <v>7</v>
      </c>
      <c r="O27" s="6">
        <f>N27/N76</f>
        <v>8.6419753086419748E-2</v>
      </c>
      <c r="P27" s="6">
        <f>7/$P$3</f>
        <v>8.6419753086419748E-2</v>
      </c>
      <c r="R27">
        <v>26</v>
      </c>
      <c r="S27" s="6">
        <f>R27/R76</f>
        <v>4.642857142857143E-2</v>
      </c>
      <c r="T27" s="6">
        <f>26/$T$3</f>
        <v>4.642857142857143E-2</v>
      </c>
      <c r="V27">
        <v>18</v>
      </c>
      <c r="W27" s="6">
        <f>V27/V76</f>
        <v>3.3333333333333333E-2</v>
      </c>
      <c r="X27" s="6">
        <f>18/$X$3</f>
        <v>3.3333333333333333E-2</v>
      </c>
      <c r="Z27">
        <v>11</v>
      </c>
      <c r="AA27" s="6">
        <f>Z27/Z76</f>
        <v>9.7345132743362831E-2</v>
      </c>
      <c r="AB27" s="6">
        <f>11/$AB$3</f>
        <v>9.7345132743362831E-2</v>
      </c>
      <c r="AC27" s="7"/>
      <c r="AD27">
        <v>9</v>
      </c>
      <c r="AE27" s="6">
        <f>AD27/AD76</f>
        <v>4.5454545454545456E-2</v>
      </c>
      <c r="AF27" s="6">
        <f>9/$AF$3</f>
        <v>4.5454545454545456E-2</v>
      </c>
      <c r="AH27">
        <v>10</v>
      </c>
      <c r="AI27" s="6">
        <f>AH27/AH76</f>
        <v>4.048582995951417E-2</v>
      </c>
      <c r="AJ27" s="6">
        <f>10/$AJ$3</f>
        <v>4.048582995951417E-2</v>
      </c>
      <c r="AL27">
        <v>5</v>
      </c>
      <c r="AM27" s="6">
        <f>AL27/AL76</f>
        <v>2.1551724137931036E-2</v>
      </c>
      <c r="AN27" s="6">
        <f>5/$AN$3</f>
        <v>2.1551724137931036E-2</v>
      </c>
      <c r="AP27">
        <v>5</v>
      </c>
      <c r="AQ27" s="6">
        <f>AP27/AP76</f>
        <v>2.6881720430107527E-2</v>
      </c>
      <c r="AR27" s="6">
        <f>5/$AR$3</f>
        <v>2.6881720430107527E-2</v>
      </c>
      <c r="AT27">
        <v>4</v>
      </c>
      <c r="AU27" s="6">
        <f>AT27/AT76</f>
        <v>3.2258064516129031E-2</v>
      </c>
      <c r="AV27" s="6">
        <f>4/$AV$3</f>
        <v>3.2258064516129031E-2</v>
      </c>
      <c r="AX27">
        <v>23</v>
      </c>
      <c r="AY27" s="6">
        <f>AX27/AX76</f>
        <v>5.3488372093023255E-2</v>
      </c>
      <c r="AZ27" s="6">
        <f>23/$AZ$3</f>
        <v>5.3488372093023255E-2</v>
      </c>
      <c r="BB27">
        <v>14</v>
      </c>
      <c r="BC27" s="6">
        <f>BB27/BB76</f>
        <v>3.2710280373831772E-2</v>
      </c>
      <c r="BD27" s="6">
        <f>14/$BD$3</f>
        <v>3.2710280373831772E-2</v>
      </c>
      <c r="BF27">
        <v>7</v>
      </c>
      <c r="BG27" s="6">
        <f>BF27/BF76</f>
        <v>2.8925619834710745E-2</v>
      </c>
      <c r="BH27" s="6">
        <f>7/$BH$3</f>
        <v>2.8925619834710745E-2</v>
      </c>
      <c r="BJ27">
        <v>20</v>
      </c>
      <c r="BK27" s="6">
        <f>BJ27/BJ76</f>
        <v>4.9627791563275438E-2</v>
      </c>
      <c r="BL27" s="6">
        <f>20/$BL$3</f>
        <v>4.9627791563275438E-2</v>
      </c>
      <c r="BN27">
        <v>14</v>
      </c>
      <c r="BO27" s="6">
        <f>BN27/BN76</f>
        <v>3.309692671394799E-2</v>
      </c>
      <c r="BP27" s="6">
        <f>14/$BP$3</f>
        <v>3.309692671394799E-2</v>
      </c>
      <c r="BR27">
        <v>10</v>
      </c>
      <c r="BS27" s="6">
        <f>BR27/BR76</f>
        <v>3.6496350364963501E-2</v>
      </c>
      <c r="BT27" s="6">
        <f>10/$BT$3</f>
        <v>3.6496350364963501E-2</v>
      </c>
      <c r="BV27">
        <v>16</v>
      </c>
      <c r="BW27" s="6">
        <f>BV27/BV76</f>
        <v>5.2459016393442623E-2</v>
      </c>
      <c r="BX27" s="6">
        <f>16/$BX$3</f>
        <v>5.2459016393442623E-2</v>
      </c>
      <c r="BZ27">
        <v>8</v>
      </c>
      <c r="CA27" s="6">
        <f>BZ27/BZ76</f>
        <v>3.5714285714285712E-2</v>
      </c>
      <c r="CB27" s="6">
        <f>8/$CB$3</f>
        <v>3.5714285714285712E-2</v>
      </c>
      <c r="CD27">
        <v>9</v>
      </c>
      <c r="CE27" s="6">
        <f>CD27/CD76</f>
        <v>3.7344398340248962E-2</v>
      </c>
      <c r="CF27" s="6">
        <f>9/$CF$3</f>
        <v>3.7344398340248962E-2</v>
      </c>
      <c r="CH27">
        <v>11</v>
      </c>
      <c r="CI27" s="6">
        <f>CH27/CH76</f>
        <v>3.3333333333333333E-2</v>
      </c>
      <c r="CJ27" s="6">
        <f>11/$CJ$3</f>
        <v>3.3333333333333333E-2</v>
      </c>
    </row>
    <row r="28" spans="1:88" x14ac:dyDescent="0.35">
      <c r="A28" s="1" t="s">
        <v>422</v>
      </c>
      <c r="B28">
        <v>32</v>
      </c>
      <c r="C28" s="6">
        <f>B28/B76</f>
        <v>2.9090909090909091E-2</v>
      </c>
      <c r="D28" s="6">
        <f>32/$D$3</f>
        <v>2.9090909090909091E-2</v>
      </c>
      <c r="F28">
        <v>29</v>
      </c>
      <c r="G28" s="6">
        <f>F28/F76</f>
        <v>3.1833150384193196E-2</v>
      </c>
      <c r="H28" s="6">
        <f>29/$H$3</f>
        <v>3.1833150384193196E-2</v>
      </c>
      <c r="J28">
        <v>13</v>
      </c>
      <c r="K28" s="6">
        <f>J28/J76</f>
        <v>2.9953917050691243E-2</v>
      </c>
      <c r="L28" s="6">
        <f>13/$L$3</f>
        <v>2.9953917050691243E-2</v>
      </c>
      <c r="N28">
        <v>6</v>
      </c>
      <c r="O28" s="6">
        <f>N28/N76</f>
        <v>7.407407407407407E-2</v>
      </c>
      <c r="P28" s="6">
        <f>6/$P$3</f>
        <v>7.407407407407407E-2</v>
      </c>
      <c r="R28">
        <v>16</v>
      </c>
      <c r="S28" s="6">
        <f>R28/R76</f>
        <v>2.8571428571428571E-2</v>
      </c>
      <c r="T28" s="6">
        <f>16/$T$3</f>
        <v>2.8571428571428571E-2</v>
      </c>
      <c r="V28">
        <v>16</v>
      </c>
      <c r="W28" s="6">
        <f>V28/V76</f>
        <v>2.9629629629629631E-2</v>
      </c>
      <c r="X28" s="6">
        <f>16/$X$3</f>
        <v>2.9629629629629631E-2</v>
      </c>
      <c r="Z28">
        <v>3</v>
      </c>
      <c r="AA28" s="6">
        <f>Z28/Z76</f>
        <v>2.6548672566371681E-2</v>
      </c>
      <c r="AB28" s="6">
        <f>3/$AB$3</f>
        <v>2.6548672566371681E-2</v>
      </c>
      <c r="AD28">
        <v>5</v>
      </c>
      <c r="AE28" s="6">
        <f>AD28/AD76</f>
        <v>2.5252525252525252E-2</v>
      </c>
      <c r="AF28" s="6">
        <f>5/$AF$3</f>
        <v>2.5252525252525252E-2</v>
      </c>
      <c r="AH28">
        <v>6</v>
      </c>
      <c r="AI28" s="6">
        <f>AH28/AH76</f>
        <v>2.4291497975708502E-2</v>
      </c>
      <c r="AJ28" s="6">
        <f>6/$AJ$3</f>
        <v>2.4291497975708502E-2</v>
      </c>
      <c r="AL28">
        <v>7</v>
      </c>
      <c r="AM28" s="6">
        <f>AL28/AL76</f>
        <v>3.017241379310345E-2</v>
      </c>
      <c r="AN28" s="6">
        <f>7/$AN$3</f>
        <v>3.017241379310345E-2</v>
      </c>
      <c r="AP28">
        <v>7</v>
      </c>
      <c r="AQ28" s="6">
        <f>AP28/AP76</f>
        <v>3.7634408602150539E-2</v>
      </c>
      <c r="AR28" s="6">
        <f>7/$AR$3</f>
        <v>3.7634408602150539E-2</v>
      </c>
      <c r="AT28">
        <v>4</v>
      </c>
      <c r="AU28" s="6">
        <f>AT28/AT76</f>
        <v>3.2258064516129031E-2</v>
      </c>
      <c r="AV28" s="6">
        <f>4/$AV$3</f>
        <v>3.2258064516129031E-2</v>
      </c>
      <c r="AX28">
        <v>11</v>
      </c>
      <c r="AY28" s="6">
        <f>AX28/AX76</f>
        <v>2.5581395348837209E-2</v>
      </c>
      <c r="AZ28" s="6">
        <f>11/$AZ$3</f>
        <v>2.5581395348837209E-2</v>
      </c>
      <c r="BB28">
        <v>14</v>
      </c>
      <c r="BC28" s="6">
        <f>BB28/BB76</f>
        <v>3.2710280373831772E-2</v>
      </c>
      <c r="BD28" s="6">
        <f>14/$BD$3</f>
        <v>3.2710280373831772E-2</v>
      </c>
      <c r="BF28">
        <v>7</v>
      </c>
      <c r="BG28" s="6">
        <f>BF28/BF76</f>
        <v>2.8925619834710745E-2</v>
      </c>
      <c r="BH28" s="6">
        <f>7/$BH$3</f>
        <v>2.8925619834710745E-2</v>
      </c>
      <c r="BJ28">
        <v>16</v>
      </c>
      <c r="BK28" s="6">
        <f>BJ28/BJ76</f>
        <v>3.9702233250620347E-2</v>
      </c>
      <c r="BL28" s="6">
        <f>16/$BL$3</f>
        <v>3.9702233250620347E-2</v>
      </c>
      <c r="BN28">
        <v>11</v>
      </c>
      <c r="BO28" s="6">
        <f>BN28/BN76</f>
        <v>2.6004728132387706E-2</v>
      </c>
      <c r="BP28" s="6">
        <f>11/$BP$3</f>
        <v>2.6004728132387706E-2</v>
      </c>
      <c r="BR28">
        <v>5</v>
      </c>
      <c r="BS28" s="6">
        <f>BR28/BR76</f>
        <v>1.824817518248175E-2</v>
      </c>
      <c r="BT28" s="6">
        <f>5/$BT$3</f>
        <v>1.824817518248175E-2</v>
      </c>
      <c r="BV28">
        <v>15</v>
      </c>
      <c r="BW28" s="6">
        <f>BV28/BV76</f>
        <v>4.9180327868852458E-2</v>
      </c>
      <c r="BX28" s="6">
        <f>15/$BX$3</f>
        <v>4.9180327868852458E-2</v>
      </c>
      <c r="BZ28">
        <v>3</v>
      </c>
      <c r="CA28" s="6">
        <f>BZ28/BZ76</f>
        <v>1.3392857142857142E-2</v>
      </c>
      <c r="CB28" s="6">
        <f>3/$CB$3</f>
        <v>1.3392857142857142E-2</v>
      </c>
      <c r="CD28">
        <v>6</v>
      </c>
      <c r="CE28" s="6">
        <f>CD28/CD76</f>
        <v>2.4896265560165973E-2</v>
      </c>
      <c r="CF28" s="6">
        <f>6/$CF$3</f>
        <v>2.4896265560165973E-2</v>
      </c>
      <c r="CH28">
        <v>8</v>
      </c>
      <c r="CI28" s="6">
        <f>CH28/CH76</f>
        <v>2.4242424242424242E-2</v>
      </c>
      <c r="CJ28" s="6">
        <f>8/$CJ$3</f>
        <v>2.4242424242424242E-2</v>
      </c>
    </row>
    <row r="29" spans="1:88" x14ac:dyDescent="0.35">
      <c r="A29" s="1" t="s">
        <v>423</v>
      </c>
      <c r="B29">
        <v>503</v>
      </c>
      <c r="C29" s="6">
        <f>B29/B76</f>
        <v>0.45727272727272728</v>
      </c>
      <c r="D29" s="6">
        <f>503/$D$3</f>
        <v>0.45727272727272728</v>
      </c>
      <c r="F29">
        <v>405</v>
      </c>
      <c r="G29" s="6">
        <f>F29/F76</f>
        <v>0.44456641053787049</v>
      </c>
      <c r="H29" s="6">
        <f>405/$H$3</f>
        <v>0.44456641053787049</v>
      </c>
      <c r="J29">
        <v>226</v>
      </c>
      <c r="K29" s="6">
        <f>J29/J76</f>
        <v>0.52073732718894006</v>
      </c>
      <c r="L29" s="9">
        <f>226/$L$3</f>
        <v>0.52073732718894006</v>
      </c>
      <c r="N29">
        <v>23</v>
      </c>
      <c r="O29" s="6">
        <f>N29/N76</f>
        <v>0.2839506172839506</v>
      </c>
      <c r="P29" s="8">
        <f>23/$P$3</f>
        <v>0.2839506172839506</v>
      </c>
      <c r="R29">
        <v>257</v>
      </c>
      <c r="S29" s="6">
        <f>R29/R76</f>
        <v>0.45892857142857141</v>
      </c>
      <c r="T29" s="6">
        <f>257/$T$3</f>
        <v>0.45892857142857141</v>
      </c>
      <c r="V29">
        <v>246</v>
      </c>
      <c r="W29" s="6">
        <f>V29/V76</f>
        <v>0.45555555555555555</v>
      </c>
      <c r="X29" s="6">
        <f>246/$X$3</f>
        <v>0.45555555555555555</v>
      </c>
      <c r="Z29">
        <v>61</v>
      </c>
      <c r="AA29" s="6">
        <f>Z29/Z76</f>
        <v>0.53982300884955747</v>
      </c>
      <c r="AB29" s="6">
        <f>61/$AB$3</f>
        <v>0.53982300884955747</v>
      </c>
      <c r="AD29">
        <v>107</v>
      </c>
      <c r="AE29" s="6">
        <f>AD29/AD76</f>
        <v>0.54040404040404044</v>
      </c>
      <c r="AF29" s="9">
        <f>107/$AF$3</f>
        <v>0.54040404040404044</v>
      </c>
      <c r="AG29" s="7"/>
      <c r="AH29">
        <v>115</v>
      </c>
      <c r="AI29" s="6">
        <f>AH29/AH76</f>
        <v>0.46558704453441296</v>
      </c>
      <c r="AJ29" s="6">
        <f>115/$AJ$3</f>
        <v>0.46558704453441296</v>
      </c>
      <c r="AL29">
        <v>92</v>
      </c>
      <c r="AM29" s="6">
        <f>AL29/AL76</f>
        <v>0.39655172413793105</v>
      </c>
      <c r="AN29" s="8">
        <f>92/$AN$3</f>
        <v>0.39655172413793105</v>
      </c>
      <c r="AP29">
        <v>73</v>
      </c>
      <c r="AQ29" s="6">
        <f>AP29/AP76</f>
        <v>0.39247311827956988</v>
      </c>
      <c r="AR29" s="6">
        <f>73/$AR$3</f>
        <v>0.39247311827956988</v>
      </c>
      <c r="AT29">
        <v>55</v>
      </c>
      <c r="AU29" s="6">
        <f>AT29/AT76</f>
        <v>0.44354838709677419</v>
      </c>
      <c r="AV29" s="6">
        <f>55/$AV$3</f>
        <v>0.44354838709677419</v>
      </c>
      <c r="AX29">
        <v>189</v>
      </c>
      <c r="AY29" s="6">
        <f>AX29/AX76</f>
        <v>0.43953488372093025</v>
      </c>
      <c r="AZ29" s="6">
        <f>189/$AZ$3</f>
        <v>0.43953488372093025</v>
      </c>
      <c r="BB29">
        <v>197</v>
      </c>
      <c r="BC29" s="6">
        <f>BB29/BB76</f>
        <v>0.46028037383177572</v>
      </c>
      <c r="BD29" s="6">
        <f>197/$BD$3</f>
        <v>0.46028037383177572</v>
      </c>
      <c r="BF29">
        <v>117</v>
      </c>
      <c r="BG29" s="6">
        <f>BF29/BF76</f>
        <v>0.48347107438016529</v>
      </c>
      <c r="BH29" s="6">
        <f>117/$BH$3</f>
        <v>0.48347107438016529</v>
      </c>
      <c r="BJ29">
        <v>180</v>
      </c>
      <c r="BK29" s="6">
        <f>BJ29/BJ76</f>
        <v>0.4466501240694789</v>
      </c>
      <c r="BL29" s="6">
        <f>180/$BL$3</f>
        <v>0.4466501240694789</v>
      </c>
      <c r="BN29">
        <v>199</v>
      </c>
      <c r="BO29" s="6">
        <f>BN29/BN76</f>
        <v>0.47044917257683216</v>
      </c>
      <c r="BP29" s="6">
        <f>199/$BP$3</f>
        <v>0.47044917257683216</v>
      </c>
      <c r="BR29">
        <v>124</v>
      </c>
      <c r="BS29" s="6">
        <f>BR29/BR76</f>
        <v>0.45255474452554745</v>
      </c>
      <c r="BT29" s="6">
        <f>124/$BT$3</f>
        <v>0.45255474452554745</v>
      </c>
      <c r="BV29">
        <v>126</v>
      </c>
      <c r="BW29" s="6">
        <f>BV29/BV76</f>
        <v>0.41311475409836068</v>
      </c>
      <c r="BX29" s="6">
        <f>126/$BX$3</f>
        <v>0.41311475409836068</v>
      </c>
      <c r="BZ29">
        <v>111</v>
      </c>
      <c r="CA29" s="6">
        <f>BZ29/BZ76</f>
        <v>0.4955357142857143</v>
      </c>
      <c r="CB29" s="6">
        <f>111/$CB$3</f>
        <v>0.4955357142857143</v>
      </c>
      <c r="CD29">
        <v>106</v>
      </c>
      <c r="CE29" s="6">
        <f>CD29/CD76</f>
        <v>0.43983402489626555</v>
      </c>
      <c r="CF29" s="6">
        <f>106/$CF$3</f>
        <v>0.43983402489626555</v>
      </c>
      <c r="CH29">
        <v>160</v>
      </c>
      <c r="CI29" s="6">
        <f>CH29/CH76</f>
        <v>0.48484848484848486</v>
      </c>
      <c r="CJ29" s="6">
        <f>160/$CJ$3</f>
        <v>0.48484848484848486</v>
      </c>
    </row>
    <row r="31" spans="1:88" x14ac:dyDescent="0.35">
      <c r="A31" s="1" t="s">
        <v>424</v>
      </c>
      <c r="B31">
        <v>189</v>
      </c>
      <c r="C31" s="6">
        <f>B31/B76</f>
        <v>0.17181818181818181</v>
      </c>
      <c r="D31" s="6">
        <f>189/$D$3</f>
        <v>0.17181818181818181</v>
      </c>
      <c r="F31">
        <v>164</v>
      </c>
      <c r="G31" s="6">
        <f>F31/F76</f>
        <v>0.18002195389681669</v>
      </c>
      <c r="H31" s="6">
        <f>164/$H$3</f>
        <v>0.18002195389681669</v>
      </c>
      <c r="J31">
        <v>76</v>
      </c>
      <c r="K31" s="6">
        <f>J31/J76</f>
        <v>0.17511520737327188</v>
      </c>
      <c r="L31" s="6">
        <f>76/$L$3</f>
        <v>0.17511520737327188</v>
      </c>
      <c r="N31">
        <v>16</v>
      </c>
      <c r="O31" s="6">
        <f>N31/N76</f>
        <v>0.19753086419753085</v>
      </c>
      <c r="P31" s="6">
        <f>16/$P$3</f>
        <v>0.19753086419753085</v>
      </c>
      <c r="R31">
        <v>80</v>
      </c>
      <c r="S31" s="6">
        <f>R31/R76</f>
        <v>0.14285714285714285</v>
      </c>
      <c r="T31" s="6">
        <f>80/$T$3</f>
        <v>0.14285714285714285</v>
      </c>
      <c r="V31">
        <v>109</v>
      </c>
      <c r="W31" s="6">
        <f>V31/V76</f>
        <v>0.20185185185185187</v>
      </c>
      <c r="X31" s="6">
        <f>109/$X$3</f>
        <v>0.20185185185185187</v>
      </c>
      <c r="Z31">
        <v>28</v>
      </c>
      <c r="AA31" s="6">
        <f>Z31/Z76</f>
        <v>0.24778761061946902</v>
      </c>
      <c r="AB31" s="9">
        <f>28/$AB$3</f>
        <v>0.24778761061946902</v>
      </c>
      <c r="AD31">
        <v>26</v>
      </c>
      <c r="AE31" s="6">
        <f>AD31/AD76</f>
        <v>0.13131313131313133</v>
      </c>
      <c r="AF31" s="6">
        <f>26/$AF$3</f>
        <v>0.13131313131313133</v>
      </c>
      <c r="AH31">
        <v>32</v>
      </c>
      <c r="AI31" s="6">
        <f>AH31/AH76</f>
        <v>0.12955465587044535</v>
      </c>
      <c r="AJ31" s="6">
        <f>32/$AJ$3</f>
        <v>0.12955465587044535</v>
      </c>
      <c r="AL31">
        <v>37</v>
      </c>
      <c r="AM31" s="6">
        <f>AL31/AL76</f>
        <v>0.15948275862068967</v>
      </c>
      <c r="AN31" s="6">
        <f>37/$AN$3</f>
        <v>0.15948275862068967</v>
      </c>
      <c r="AP31">
        <v>35</v>
      </c>
      <c r="AQ31" s="6">
        <f>AP31/AP76</f>
        <v>0.18817204301075269</v>
      </c>
      <c r="AR31" s="6">
        <f>35/$AR$3</f>
        <v>0.18817204301075269</v>
      </c>
      <c r="AT31">
        <v>31</v>
      </c>
      <c r="AU31" s="6">
        <f>AT31/AT76</f>
        <v>0.25</v>
      </c>
      <c r="AV31" s="9">
        <f>31/$AV$3</f>
        <v>0.25</v>
      </c>
      <c r="AW31" s="7"/>
      <c r="AX31">
        <v>83</v>
      </c>
      <c r="AY31" s="6">
        <f>AX31/AX76</f>
        <v>0.19302325581395349</v>
      </c>
      <c r="AZ31" s="6">
        <f>83/$AZ$3</f>
        <v>0.19302325581395349</v>
      </c>
      <c r="BB31">
        <v>76</v>
      </c>
      <c r="BC31" s="6">
        <f>BB31/BB76</f>
        <v>0.17757009345794392</v>
      </c>
      <c r="BD31" s="6">
        <f>76/$BD$3</f>
        <v>0.17757009345794392</v>
      </c>
      <c r="BF31">
        <v>30</v>
      </c>
      <c r="BG31" s="6">
        <f>BF31/BF76</f>
        <v>0.12396694214876033</v>
      </c>
      <c r="BH31" s="6">
        <f>30/$BH$3</f>
        <v>0.12396694214876033</v>
      </c>
      <c r="BJ31">
        <v>75</v>
      </c>
      <c r="BK31" s="6">
        <f>BJ31/BJ76</f>
        <v>0.18610421836228289</v>
      </c>
      <c r="BL31" s="6">
        <f>75/$BL$3</f>
        <v>0.18610421836228289</v>
      </c>
      <c r="BN31">
        <v>72</v>
      </c>
      <c r="BO31" s="6">
        <f>BN31/BN76</f>
        <v>0.1702127659574468</v>
      </c>
      <c r="BP31" s="6">
        <f>72/$BP$3</f>
        <v>0.1702127659574468</v>
      </c>
      <c r="BR31">
        <v>42</v>
      </c>
      <c r="BS31" s="6">
        <f>BR31/BR76</f>
        <v>0.15328467153284672</v>
      </c>
      <c r="BT31" s="6">
        <f>42/$BT$3</f>
        <v>0.15328467153284672</v>
      </c>
      <c r="BV31">
        <v>78</v>
      </c>
      <c r="BW31" s="6">
        <f>BV31/BV76</f>
        <v>0.25573770491803277</v>
      </c>
      <c r="BX31" s="9">
        <f>78/$BX$3</f>
        <v>0.25573770491803277</v>
      </c>
      <c r="BY31" s="7"/>
      <c r="BZ31">
        <v>45</v>
      </c>
      <c r="CA31" s="6">
        <f>BZ31/BZ76</f>
        <v>0.20089285714285715</v>
      </c>
      <c r="CB31" s="6">
        <f>45/$CB$3</f>
        <v>0.20089285714285715</v>
      </c>
      <c r="CC31" s="7"/>
      <c r="CD31">
        <v>33</v>
      </c>
      <c r="CE31" s="6">
        <f>CD31/CD76</f>
        <v>0.13692946058091288</v>
      </c>
      <c r="CF31" s="6">
        <f>33/$CF$3</f>
        <v>0.13692946058091288</v>
      </c>
      <c r="CH31">
        <v>33</v>
      </c>
      <c r="CI31" s="6">
        <f>CH31/CH76</f>
        <v>0.1</v>
      </c>
      <c r="CJ31" s="8">
        <f>33/$CJ$3</f>
        <v>0.1</v>
      </c>
    </row>
    <row r="32" spans="1:88" x14ac:dyDescent="0.35">
      <c r="A32" s="1" t="s">
        <v>425</v>
      </c>
      <c r="B32">
        <v>31</v>
      </c>
      <c r="C32" s="6">
        <f>B32/B76</f>
        <v>2.8181818181818183E-2</v>
      </c>
      <c r="D32" s="6">
        <f>31/$D$3</f>
        <v>2.8181818181818183E-2</v>
      </c>
      <c r="F32">
        <v>30</v>
      </c>
      <c r="G32" s="6">
        <f>F32/F76</f>
        <v>3.2930845225027441E-2</v>
      </c>
      <c r="H32" s="6">
        <f>30/$H$3</f>
        <v>3.2930845225027441E-2</v>
      </c>
      <c r="J32">
        <v>18</v>
      </c>
      <c r="K32" s="6">
        <f>J32/J76</f>
        <v>4.1474654377880185E-2</v>
      </c>
      <c r="L32" s="6">
        <f>18/$L$3</f>
        <v>4.1474654377880185E-2</v>
      </c>
      <c r="N32">
        <v>1</v>
      </c>
      <c r="O32" s="6">
        <f>N32/N76</f>
        <v>1.2345679012345678E-2</v>
      </c>
      <c r="P32" s="6">
        <f>1/$P$3</f>
        <v>1.2345679012345678E-2</v>
      </c>
      <c r="R32">
        <v>14</v>
      </c>
      <c r="S32" s="6">
        <f>R32/R76</f>
        <v>2.5000000000000001E-2</v>
      </c>
      <c r="T32" s="6">
        <f>14/$T$3</f>
        <v>2.5000000000000001E-2</v>
      </c>
      <c r="V32">
        <v>17</v>
      </c>
      <c r="W32" s="6">
        <f>V32/V76</f>
        <v>3.1481481481481478E-2</v>
      </c>
      <c r="X32" s="6">
        <f>17/$X$3</f>
        <v>3.1481481481481478E-2</v>
      </c>
      <c r="Z32">
        <v>7</v>
      </c>
      <c r="AA32" s="6">
        <f>Z32/Z76</f>
        <v>6.1946902654867256E-2</v>
      </c>
      <c r="AB32" s="6">
        <f>7/$AB$3</f>
        <v>6.1946902654867256E-2</v>
      </c>
      <c r="AD32">
        <v>7</v>
      </c>
      <c r="AE32" s="6">
        <f>AD32/AD76</f>
        <v>3.5353535353535352E-2</v>
      </c>
      <c r="AF32" s="6">
        <f>7/$AF$3</f>
        <v>3.5353535353535352E-2</v>
      </c>
      <c r="AH32">
        <v>6</v>
      </c>
      <c r="AI32" s="6">
        <f>AH32/AH76</f>
        <v>2.4291497975708502E-2</v>
      </c>
      <c r="AJ32" s="6">
        <f>6/$AJ$3</f>
        <v>2.4291497975708502E-2</v>
      </c>
      <c r="AL32">
        <v>2</v>
      </c>
      <c r="AM32" s="6">
        <f>AL32/AL76</f>
        <v>8.6206896551724137E-3</v>
      </c>
      <c r="AN32" s="6">
        <f>2/$AN$3</f>
        <v>8.6206896551724137E-3</v>
      </c>
      <c r="AP32">
        <v>7</v>
      </c>
      <c r="AQ32" s="6">
        <f>AP32/AP76</f>
        <v>3.7634408602150539E-2</v>
      </c>
      <c r="AR32" s="6">
        <f>7/$AR$3</f>
        <v>3.7634408602150539E-2</v>
      </c>
      <c r="AT32">
        <v>2</v>
      </c>
      <c r="AU32" s="6">
        <f>AT32/AT76</f>
        <v>1.6129032258064516E-2</v>
      </c>
      <c r="AV32" s="6">
        <f>2/$AV$3</f>
        <v>1.6129032258064516E-2</v>
      </c>
      <c r="AX32">
        <v>16</v>
      </c>
      <c r="AY32" s="6">
        <f>AX32/AX76</f>
        <v>3.7209302325581395E-2</v>
      </c>
      <c r="AZ32" s="6">
        <f>16/$AZ$3</f>
        <v>3.7209302325581395E-2</v>
      </c>
      <c r="BB32">
        <v>11</v>
      </c>
      <c r="BC32" s="6">
        <f>BB32/BB76</f>
        <v>2.5700934579439252E-2</v>
      </c>
      <c r="BD32" s="6">
        <f>11/$BD$3</f>
        <v>2.5700934579439252E-2</v>
      </c>
      <c r="BF32">
        <v>4</v>
      </c>
      <c r="BG32" s="6">
        <f>BF32/BF76</f>
        <v>1.6528925619834711E-2</v>
      </c>
      <c r="BH32" s="6">
        <f>4/$BH$3</f>
        <v>1.6528925619834711E-2</v>
      </c>
      <c r="BJ32">
        <v>11</v>
      </c>
      <c r="BK32" s="6">
        <f>BJ32/BJ76</f>
        <v>2.729528535980149E-2</v>
      </c>
      <c r="BL32" s="6">
        <f>11/$BL$3</f>
        <v>2.729528535980149E-2</v>
      </c>
      <c r="BN32">
        <v>12</v>
      </c>
      <c r="BO32" s="6">
        <f>BN32/BN76</f>
        <v>2.8368794326241134E-2</v>
      </c>
      <c r="BP32" s="6">
        <f>12/$BP$3</f>
        <v>2.8368794326241134E-2</v>
      </c>
      <c r="BR32">
        <v>8</v>
      </c>
      <c r="BS32" s="6">
        <f>BR32/BR76</f>
        <v>2.9197080291970802E-2</v>
      </c>
      <c r="BT32" s="6">
        <f>8/$BT$3</f>
        <v>2.9197080291970802E-2</v>
      </c>
      <c r="BV32">
        <v>14</v>
      </c>
      <c r="BW32" s="6">
        <f>BV32/BV76</f>
        <v>4.5901639344262293E-2</v>
      </c>
      <c r="BX32" s="6">
        <f>14/$BX$3</f>
        <v>4.5901639344262293E-2</v>
      </c>
      <c r="BZ32">
        <v>7</v>
      </c>
      <c r="CA32" s="6">
        <f>BZ32/BZ76</f>
        <v>3.125E-2</v>
      </c>
      <c r="CB32" s="6">
        <f>7/$CB$3</f>
        <v>3.125E-2</v>
      </c>
      <c r="CD32">
        <v>5</v>
      </c>
      <c r="CE32" s="6">
        <f>CD32/CD76</f>
        <v>2.0746887966804978E-2</v>
      </c>
      <c r="CF32" s="6">
        <f>5/$CF$3</f>
        <v>2.0746887966804978E-2</v>
      </c>
      <c r="CH32">
        <v>5</v>
      </c>
      <c r="CI32" s="6">
        <f>CH32/CH76</f>
        <v>1.5151515151515152E-2</v>
      </c>
      <c r="CJ32" s="6">
        <f>5/$CJ$3</f>
        <v>1.5151515151515152E-2</v>
      </c>
    </row>
    <row r="33" spans="1:89" x14ac:dyDescent="0.35">
      <c r="A33" s="1" t="s">
        <v>426</v>
      </c>
      <c r="B33">
        <v>67</v>
      </c>
      <c r="C33" s="6">
        <f>B33/B76</f>
        <v>6.0909090909090906E-2</v>
      </c>
      <c r="D33" s="6">
        <f>67/$D$3</f>
        <v>6.0909090909090906E-2</v>
      </c>
      <c r="F33">
        <v>58</v>
      </c>
      <c r="G33" s="6">
        <f>F33/F76</f>
        <v>6.3666300768386391E-2</v>
      </c>
      <c r="H33" s="6">
        <f>58/$H$3</f>
        <v>6.3666300768386391E-2</v>
      </c>
      <c r="J33">
        <v>29</v>
      </c>
      <c r="K33" s="6">
        <f>J33/J76</f>
        <v>6.6820276497695855E-2</v>
      </c>
      <c r="L33" s="6">
        <f>29/$L$3</f>
        <v>6.6820276497695855E-2</v>
      </c>
      <c r="N33">
        <v>19</v>
      </c>
      <c r="O33" s="6">
        <f>N33/N76</f>
        <v>0.23456790123456789</v>
      </c>
      <c r="P33" s="6">
        <f>19/$P$3</f>
        <v>0.23456790123456789</v>
      </c>
      <c r="R33">
        <v>26</v>
      </c>
      <c r="S33" s="6">
        <f>R33/R76</f>
        <v>4.642857142857143E-2</v>
      </c>
      <c r="T33" s="6">
        <f>26/$T$3</f>
        <v>4.642857142857143E-2</v>
      </c>
      <c r="V33">
        <v>41</v>
      </c>
      <c r="W33" s="6">
        <f>V33/V76</f>
        <v>7.5925925925925924E-2</v>
      </c>
      <c r="X33" s="6">
        <f>41/$X$3</f>
        <v>7.5925925925925924E-2</v>
      </c>
      <c r="Z33">
        <v>7</v>
      </c>
      <c r="AA33" s="6">
        <f>Z33/Z76</f>
        <v>6.1946902654867256E-2</v>
      </c>
      <c r="AB33" s="6">
        <f>7/$AB$3</f>
        <v>6.1946902654867256E-2</v>
      </c>
      <c r="AD33">
        <v>13</v>
      </c>
      <c r="AE33" s="6">
        <f>AD33/AD76</f>
        <v>6.5656565656565663E-2</v>
      </c>
      <c r="AF33" s="6">
        <f>13/$AF$3</f>
        <v>6.5656565656565663E-2</v>
      </c>
      <c r="AH33">
        <v>18</v>
      </c>
      <c r="AI33" s="6">
        <f>AH33/AH76</f>
        <v>7.28744939271255E-2</v>
      </c>
      <c r="AJ33" s="6">
        <f>18/$AJ$3</f>
        <v>7.28744939271255E-2</v>
      </c>
      <c r="AL33">
        <v>12</v>
      </c>
      <c r="AM33" s="6">
        <f>AL33/AL76</f>
        <v>5.1724137931034482E-2</v>
      </c>
      <c r="AN33" s="6">
        <f>12/$AN$3</f>
        <v>5.1724137931034482E-2</v>
      </c>
      <c r="AP33">
        <v>13</v>
      </c>
      <c r="AQ33" s="6">
        <f>AP33/AP76</f>
        <v>6.9892473118279563E-2</v>
      </c>
      <c r="AR33" s="6">
        <f>13/$AR$3</f>
        <v>6.9892473118279563E-2</v>
      </c>
      <c r="AT33">
        <v>4</v>
      </c>
      <c r="AU33" s="6">
        <f>AT33/AT76</f>
        <v>3.2258064516129031E-2</v>
      </c>
      <c r="AV33" s="6">
        <f>4/$AV$3</f>
        <v>3.2258064516129031E-2</v>
      </c>
      <c r="AX33">
        <v>31</v>
      </c>
      <c r="AY33" s="6">
        <f>AX33/AX76</f>
        <v>7.2093023255813959E-2</v>
      </c>
      <c r="AZ33" s="6">
        <f>31/$AZ$3</f>
        <v>7.2093023255813959E-2</v>
      </c>
      <c r="BB33">
        <v>22</v>
      </c>
      <c r="BC33" s="6">
        <f>BB33/BB76</f>
        <v>5.1401869158878503E-2</v>
      </c>
      <c r="BD33" s="6">
        <f>22/$BD$3</f>
        <v>5.1401869158878503E-2</v>
      </c>
      <c r="BF33">
        <v>14</v>
      </c>
      <c r="BG33" s="6">
        <f>BF33/BF76</f>
        <v>5.7851239669421489E-2</v>
      </c>
      <c r="BH33" s="6">
        <f>14/$BH$3</f>
        <v>5.7851239669421489E-2</v>
      </c>
      <c r="BJ33">
        <v>32</v>
      </c>
      <c r="BK33" s="6">
        <f>BJ33/BJ76</f>
        <v>7.9404466501240695E-2</v>
      </c>
      <c r="BL33" s="6">
        <f>32/$BL$3</f>
        <v>7.9404466501240695E-2</v>
      </c>
      <c r="BN33">
        <v>25</v>
      </c>
      <c r="BO33" s="6">
        <f>BN33/BN76</f>
        <v>5.9101654846335699E-2</v>
      </c>
      <c r="BP33" s="6">
        <f>25/$BP$3</f>
        <v>5.9101654846335699E-2</v>
      </c>
      <c r="BR33">
        <v>10</v>
      </c>
      <c r="BS33" s="6">
        <f>BR33/BR76</f>
        <v>3.6496350364963501E-2</v>
      </c>
      <c r="BT33" s="6">
        <f>10/$BT$3</f>
        <v>3.6496350364963501E-2</v>
      </c>
      <c r="BV33">
        <v>22</v>
      </c>
      <c r="BW33" s="6">
        <f>BV33/BV76</f>
        <v>7.2131147540983612E-2</v>
      </c>
      <c r="BX33" s="6">
        <f>22/$BX$3</f>
        <v>7.2131147540983612E-2</v>
      </c>
      <c r="BZ33">
        <v>11</v>
      </c>
      <c r="CA33" s="6">
        <f>BZ33/BZ76</f>
        <v>4.9107142857142856E-2</v>
      </c>
      <c r="CB33" s="6">
        <f>11/$CB$3</f>
        <v>4.9107142857142856E-2</v>
      </c>
      <c r="CD33">
        <v>12</v>
      </c>
      <c r="CE33" s="6">
        <f>CD33/CD76</f>
        <v>4.9792531120331947E-2</v>
      </c>
      <c r="CF33" s="6">
        <f>12/$CF$3</f>
        <v>4.9792531120331947E-2</v>
      </c>
      <c r="CH33">
        <v>22</v>
      </c>
      <c r="CI33" s="6">
        <f>CH33/CH76</f>
        <v>6.6666666666666666E-2</v>
      </c>
      <c r="CJ33" s="6">
        <f>22/$CJ$3</f>
        <v>6.6666666666666666E-2</v>
      </c>
    </row>
    <row r="34" spans="1:89" x14ac:dyDescent="0.35">
      <c r="A34" s="1" t="s">
        <v>427</v>
      </c>
      <c r="B34">
        <v>813</v>
      </c>
      <c r="C34" s="6">
        <f>B34/B76</f>
        <v>0.73909090909090913</v>
      </c>
      <c r="D34" s="6">
        <f>813/$D$3</f>
        <v>0.73909090909090913</v>
      </c>
      <c r="F34">
        <v>659</v>
      </c>
      <c r="G34" s="6">
        <f>F34/F76</f>
        <v>0.72338090010976952</v>
      </c>
      <c r="H34" s="6">
        <f>659/$H$3</f>
        <v>0.72338090010976952</v>
      </c>
      <c r="J34">
        <v>311</v>
      </c>
      <c r="K34" s="6">
        <f>J34/J76</f>
        <v>0.71658986175115202</v>
      </c>
      <c r="L34" s="6">
        <f>311/$L$3</f>
        <v>0.71658986175115202</v>
      </c>
      <c r="N34">
        <v>45</v>
      </c>
      <c r="O34" s="6">
        <f>N34/N76</f>
        <v>0.55555555555555558</v>
      </c>
      <c r="P34" s="8">
        <f>45/$P$3</f>
        <v>0.55555555555555558</v>
      </c>
      <c r="R34">
        <v>440</v>
      </c>
      <c r="S34" s="6">
        <f>R34/R76</f>
        <v>0.7857142857142857</v>
      </c>
      <c r="T34" s="6">
        <f>440/$T$3</f>
        <v>0.7857142857142857</v>
      </c>
      <c r="V34">
        <v>373</v>
      </c>
      <c r="W34" s="6">
        <f>V34/V76</f>
        <v>0.69074074074074077</v>
      </c>
      <c r="X34" s="6">
        <f>373/$X$3</f>
        <v>0.69074074074074077</v>
      </c>
      <c r="Z34">
        <v>71</v>
      </c>
      <c r="AA34" s="6">
        <f>Z34/Z76</f>
        <v>0.62831858407079644</v>
      </c>
      <c r="AB34" s="8">
        <f>71/$AB$3</f>
        <v>0.62831858407079644</v>
      </c>
      <c r="AD34">
        <v>152</v>
      </c>
      <c r="AE34" s="6">
        <f>AD34/AD76</f>
        <v>0.76767676767676762</v>
      </c>
      <c r="AF34" s="6">
        <f>152/$AF$3</f>
        <v>0.76767676767676762</v>
      </c>
      <c r="AH34">
        <v>191</v>
      </c>
      <c r="AI34" s="6">
        <f>AH34/AH76</f>
        <v>0.77327935222672062</v>
      </c>
      <c r="AJ34" s="6">
        <f>191/$AJ$3</f>
        <v>0.77327935222672062</v>
      </c>
      <c r="AK34" s="7"/>
      <c r="AL34">
        <v>181</v>
      </c>
      <c r="AM34" s="6">
        <f>AL34/AL76</f>
        <v>0.78017241379310343</v>
      </c>
      <c r="AN34" s="6">
        <f>181/$AN$3</f>
        <v>0.78017241379310343</v>
      </c>
      <c r="AO34" s="7"/>
      <c r="AP34">
        <v>131</v>
      </c>
      <c r="AQ34" s="6">
        <f>AP34/AP76</f>
        <v>0.70430107526881724</v>
      </c>
      <c r="AR34" s="6">
        <f>131/$AR$3</f>
        <v>0.70430107526881724</v>
      </c>
      <c r="AT34">
        <v>87</v>
      </c>
      <c r="AU34" s="6">
        <f>AT34/AT76</f>
        <v>0.70161290322580649</v>
      </c>
      <c r="AV34" s="6">
        <f>87/$AV$3</f>
        <v>0.70161290322580649</v>
      </c>
      <c r="AX34">
        <v>300</v>
      </c>
      <c r="AY34" s="6">
        <f>AX34/AX76</f>
        <v>0.69767441860465118</v>
      </c>
      <c r="AZ34" s="6">
        <f>300/$AZ$3</f>
        <v>0.69767441860465118</v>
      </c>
      <c r="BB34">
        <v>319</v>
      </c>
      <c r="BC34" s="6">
        <f>BB34/BB76</f>
        <v>0.74532710280373837</v>
      </c>
      <c r="BD34" s="6">
        <f>319/$BD$3</f>
        <v>0.74532710280373837</v>
      </c>
      <c r="BF34">
        <v>194</v>
      </c>
      <c r="BG34" s="6">
        <f>BF34/BF76</f>
        <v>0.80165289256198347</v>
      </c>
      <c r="BH34" s="9">
        <f>194/$BH$3</f>
        <v>0.80165289256198347</v>
      </c>
      <c r="BI34" s="7" t="s">
        <v>3</v>
      </c>
      <c r="BJ34">
        <v>285</v>
      </c>
      <c r="BK34" s="6">
        <f>BJ34/BJ76</f>
        <v>0.70719602977667495</v>
      </c>
      <c r="BL34" s="6">
        <f>285/$BL$3</f>
        <v>0.70719602977667495</v>
      </c>
      <c r="BN34">
        <v>314</v>
      </c>
      <c r="BO34" s="6">
        <f>BN34/BN76</f>
        <v>0.74231678486997632</v>
      </c>
      <c r="BP34" s="6">
        <f>314/$BP$3</f>
        <v>0.74231678486997632</v>
      </c>
      <c r="BR34">
        <v>214</v>
      </c>
      <c r="BS34" s="6">
        <f>BR34/BR76</f>
        <v>0.78102189781021902</v>
      </c>
      <c r="BT34" s="6">
        <f>214/$BT$3</f>
        <v>0.78102189781021902</v>
      </c>
      <c r="BV34">
        <v>191</v>
      </c>
      <c r="BW34" s="6">
        <f>BV34/BV76</f>
        <v>0.6262295081967213</v>
      </c>
      <c r="BX34" s="8">
        <f>191/$BX$3</f>
        <v>0.6262295081967213</v>
      </c>
      <c r="BZ34">
        <v>161</v>
      </c>
      <c r="CA34" s="6">
        <f>BZ34/BZ76</f>
        <v>0.71875</v>
      </c>
      <c r="CB34" s="6">
        <f>161/$CB$3</f>
        <v>0.71875</v>
      </c>
      <c r="CD34">
        <v>191</v>
      </c>
      <c r="CE34" s="6">
        <f>CD34/CD76</f>
        <v>0.79253112033195017</v>
      </c>
      <c r="CF34" s="9">
        <f>191/$CF$3</f>
        <v>0.79253112033195017</v>
      </c>
      <c r="CG34" s="7"/>
      <c r="CH34">
        <v>270</v>
      </c>
      <c r="CI34" s="6">
        <f>CH34/CH76</f>
        <v>0.81818181818181823</v>
      </c>
      <c r="CJ34" s="9">
        <f>270/$CJ$3</f>
        <v>0.81818181818181823</v>
      </c>
      <c r="CK34" s="7"/>
    </row>
    <row r="36" spans="1:89" x14ac:dyDescent="0.35">
      <c r="A36" s="1" t="s">
        <v>428</v>
      </c>
      <c r="B36">
        <v>296</v>
      </c>
      <c r="C36" s="6">
        <f>B36/B76</f>
        <v>0.2690909090909091</v>
      </c>
      <c r="D36" s="6">
        <f>296/$D$3</f>
        <v>0.2690909090909091</v>
      </c>
      <c r="F36">
        <v>265</v>
      </c>
      <c r="G36" s="6">
        <f>F36/F76</f>
        <v>0.29088913282107576</v>
      </c>
      <c r="H36" s="6">
        <f>265/$H$3</f>
        <v>0.29088913282107576</v>
      </c>
      <c r="J36">
        <v>92</v>
      </c>
      <c r="K36" s="6">
        <f>J36/J76</f>
        <v>0.2119815668202765</v>
      </c>
      <c r="L36" s="8">
        <f>92/$L$3</f>
        <v>0.2119815668202765</v>
      </c>
      <c r="N36">
        <v>27</v>
      </c>
      <c r="O36" s="6">
        <f>N36/N76</f>
        <v>0.33333333333333331</v>
      </c>
      <c r="P36" s="6">
        <f>27/$P$3</f>
        <v>0.33333333333333331</v>
      </c>
      <c r="R36">
        <v>133</v>
      </c>
      <c r="S36" s="6">
        <f>R36/R76</f>
        <v>0.23749999999999999</v>
      </c>
      <c r="T36" s="6">
        <f>133/$T$3</f>
        <v>0.23749999999999999</v>
      </c>
      <c r="V36">
        <v>163</v>
      </c>
      <c r="W36" s="6">
        <f>V36/V76</f>
        <v>0.30185185185185187</v>
      </c>
      <c r="X36" s="6">
        <f>163/$X$3</f>
        <v>0.30185185185185187</v>
      </c>
      <c r="Z36">
        <v>37</v>
      </c>
      <c r="AA36" s="6">
        <f>Z36/Z76</f>
        <v>0.32743362831858408</v>
      </c>
      <c r="AB36" s="6">
        <f>37/$AB$3</f>
        <v>0.32743362831858408</v>
      </c>
      <c r="AD36">
        <v>51</v>
      </c>
      <c r="AE36" s="6">
        <f>AD36/AD76</f>
        <v>0.25757575757575757</v>
      </c>
      <c r="AF36" s="6">
        <f>51/$AF$3</f>
        <v>0.25757575757575757</v>
      </c>
      <c r="AH36">
        <v>62</v>
      </c>
      <c r="AI36" s="6">
        <f>AH36/AH76</f>
        <v>0.25101214574898784</v>
      </c>
      <c r="AJ36" s="6">
        <f>62/$AJ$3</f>
        <v>0.25101214574898784</v>
      </c>
      <c r="AL36">
        <v>58</v>
      </c>
      <c r="AM36" s="6">
        <f>AL36/AL76</f>
        <v>0.25</v>
      </c>
      <c r="AN36" s="6">
        <f>58/$AN$3</f>
        <v>0.25</v>
      </c>
      <c r="AP36">
        <v>50</v>
      </c>
      <c r="AQ36" s="6">
        <f>AP36/AP76</f>
        <v>0.26881720430107525</v>
      </c>
      <c r="AR36" s="6">
        <f>50/$AR$3</f>
        <v>0.26881720430107525</v>
      </c>
      <c r="AT36">
        <v>38</v>
      </c>
      <c r="AU36" s="6">
        <f>AT36/AT76</f>
        <v>0.30645161290322581</v>
      </c>
      <c r="AV36" s="6">
        <f>38/$AV$3</f>
        <v>0.30645161290322581</v>
      </c>
      <c r="AX36">
        <v>119</v>
      </c>
      <c r="AY36" s="6">
        <f>AX36/AX76</f>
        <v>0.27674418604651163</v>
      </c>
      <c r="AZ36" s="6">
        <f>119/$AZ$3</f>
        <v>0.27674418604651163</v>
      </c>
      <c r="BB36">
        <v>102</v>
      </c>
      <c r="BC36" s="6">
        <f>BB36/BB76</f>
        <v>0.23831775700934579</v>
      </c>
      <c r="BD36" s="6">
        <f>102/$BD$3</f>
        <v>0.23831775700934579</v>
      </c>
      <c r="BF36">
        <v>75</v>
      </c>
      <c r="BG36" s="6">
        <f>BF36/BF76</f>
        <v>0.30991735537190085</v>
      </c>
      <c r="BH36" s="6">
        <f>75/$BH$3</f>
        <v>0.30991735537190085</v>
      </c>
      <c r="BJ36">
        <v>99</v>
      </c>
      <c r="BK36" s="6">
        <f>BJ36/BJ76</f>
        <v>0.24565756823821339</v>
      </c>
      <c r="BL36" s="6">
        <f>99/$BL$3</f>
        <v>0.24565756823821339</v>
      </c>
      <c r="BN36">
        <v>118</v>
      </c>
      <c r="BO36" s="6">
        <f>BN36/BN76</f>
        <v>0.27895981087470451</v>
      </c>
      <c r="BP36" s="6">
        <f>118/$BP$3</f>
        <v>0.27895981087470451</v>
      </c>
      <c r="BR36">
        <v>79</v>
      </c>
      <c r="BS36" s="6">
        <f>BR36/BR76</f>
        <v>0.28832116788321166</v>
      </c>
      <c r="BT36" s="6">
        <f>79/$BT$3</f>
        <v>0.28832116788321166</v>
      </c>
      <c r="BV36">
        <v>52</v>
      </c>
      <c r="BW36" s="6">
        <f>BV36/BV76</f>
        <v>0.17049180327868851</v>
      </c>
      <c r="BX36" s="8">
        <f>52/$BX$3</f>
        <v>0.17049180327868851</v>
      </c>
      <c r="BZ36">
        <v>60</v>
      </c>
      <c r="CA36" s="6">
        <f>BZ36/BZ76</f>
        <v>0.26785714285714285</v>
      </c>
      <c r="CB36" s="6">
        <f>60/$CB$3</f>
        <v>0.26785714285714285</v>
      </c>
      <c r="CD36">
        <v>77</v>
      </c>
      <c r="CE36" s="6">
        <f>CD36/CD76</f>
        <v>0.31950207468879666</v>
      </c>
      <c r="CF36" s="9">
        <f>77/$CF$3</f>
        <v>0.31950207468879666</v>
      </c>
      <c r="CG36" s="7"/>
      <c r="CH36">
        <v>107</v>
      </c>
      <c r="CI36" s="6">
        <f>CH36/CH76</f>
        <v>0.32424242424242422</v>
      </c>
      <c r="CJ36" s="9">
        <f>107/$CJ$3</f>
        <v>0.32424242424242422</v>
      </c>
      <c r="CK36" s="7"/>
    </row>
    <row r="37" spans="1:89" x14ac:dyDescent="0.35">
      <c r="A37" s="1" t="s">
        <v>429</v>
      </c>
      <c r="B37">
        <v>29</v>
      </c>
      <c r="C37" s="6">
        <f>B37/B76</f>
        <v>2.6363636363636363E-2</v>
      </c>
      <c r="D37" s="6">
        <f>29/$D$3</f>
        <v>2.6363636363636363E-2</v>
      </c>
      <c r="F37">
        <v>24</v>
      </c>
      <c r="G37" s="6">
        <f>F37/F76</f>
        <v>2.6344676180021953E-2</v>
      </c>
      <c r="H37" s="6">
        <f>24/$H$3</f>
        <v>2.6344676180021953E-2</v>
      </c>
      <c r="J37">
        <v>15</v>
      </c>
      <c r="K37" s="6">
        <f>J37/J76</f>
        <v>3.4562211981566823E-2</v>
      </c>
      <c r="L37" s="6">
        <f>15/$L$3</f>
        <v>3.4562211981566823E-2</v>
      </c>
      <c r="N37">
        <v>2</v>
      </c>
      <c r="O37" s="6">
        <f>N37/N76</f>
        <v>2.4691358024691357E-2</v>
      </c>
      <c r="P37" s="6">
        <f>2/$P$3</f>
        <v>2.4691358024691357E-2</v>
      </c>
      <c r="R37">
        <v>13</v>
      </c>
      <c r="S37" s="6">
        <f>R37/R76</f>
        <v>2.3214285714285715E-2</v>
      </c>
      <c r="T37" s="6">
        <f>13/$T$3</f>
        <v>2.3214285714285715E-2</v>
      </c>
      <c r="V37">
        <v>16</v>
      </c>
      <c r="W37" s="6">
        <f>V37/V76</f>
        <v>2.9629629629629631E-2</v>
      </c>
      <c r="X37" s="6">
        <f>16/$X$3</f>
        <v>2.9629629629629631E-2</v>
      </c>
      <c r="Z37">
        <v>3</v>
      </c>
      <c r="AA37" s="6">
        <f>Z37/Z76</f>
        <v>2.6548672566371681E-2</v>
      </c>
      <c r="AB37" s="6">
        <f>3/$AB$3</f>
        <v>2.6548672566371681E-2</v>
      </c>
      <c r="AD37">
        <v>10</v>
      </c>
      <c r="AE37" s="6">
        <f>AD37/AD76</f>
        <v>5.0505050505050504E-2</v>
      </c>
      <c r="AF37" s="6">
        <f>10/$AF$3</f>
        <v>5.0505050505050504E-2</v>
      </c>
      <c r="AH37">
        <v>6</v>
      </c>
      <c r="AI37" s="6">
        <f>AH37/AH76</f>
        <v>2.4291497975708502E-2</v>
      </c>
      <c r="AJ37" s="6">
        <f>6/$AJ$3</f>
        <v>2.4291497975708502E-2</v>
      </c>
      <c r="AL37">
        <v>5</v>
      </c>
      <c r="AM37" s="6">
        <f>AL37/AL76</f>
        <v>2.1551724137931036E-2</v>
      </c>
      <c r="AN37" s="6">
        <f>5/$AN$3</f>
        <v>2.1551724137931036E-2</v>
      </c>
      <c r="AP37">
        <v>4</v>
      </c>
      <c r="AQ37" s="6">
        <f>AP37/AP76</f>
        <v>2.1505376344086023E-2</v>
      </c>
      <c r="AR37" s="6">
        <f>4/$AR$3</f>
        <v>2.1505376344086023E-2</v>
      </c>
      <c r="AT37">
        <v>1</v>
      </c>
      <c r="AU37" s="6">
        <f>AT37/AT76</f>
        <v>8.0645161290322578E-3</v>
      </c>
      <c r="AV37" s="6">
        <f>1/$AV$3</f>
        <v>8.0645161290322578E-3</v>
      </c>
      <c r="AX37">
        <v>16</v>
      </c>
      <c r="AY37" s="6">
        <f>AX37/AX76</f>
        <v>3.7209302325581395E-2</v>
      </c>
      <c r="AZ37" s="6">
        <f>16/$AZ$3</f>
        <v>3.7209302325581395E-2</v>
      </c>
      <c r="BB37">
        <v>8</v>
      </c>
      <c r="BC37" s="6">
        <f>BB37/BB76</f>
        <v>1.8691588785046728E-2</v>
      </c>
      <c r="BD37" s="6">
        <f>8/$BD$3</f>
        <v>1.8691588785046728E-2</v>
      </c>
      <c r="BF37">
        <v>5</v>
      </c>
      <c r="BG37" s="6">
        <f>BF37/BF76</f>
        <v>2.0661157024793389E-2</v>
      </c>
      <c r="BH37" s="6">
        <f>5/$BH$3</f>
        <v>2.0661157024793389E-2</v>
      </c>
      <c r="BJ37">
        <v>15</v>
      </c>
      <c r="BK37" s="6">
        <f>BJ37/BJ76</f>
        <v>3.7220843672456573E-2</v>
      </c>
      <c r="BL37" s="6">
        <f>15/$BL$3</f>
        <v>3.7220843672456573E-2</v>
      </c>
      <c r="BN37">
        <v>9</v>
      </c>
      <c r="BO37" s="6">
        <f>BN37/BN76</f>
        <v>2.1276595744680851E-2</v>
      </c>
      <c r="BP37" s="6">
        <f>9/$BP$3</f>
        <v>2.1276595744680851E-2</v>
      </c>
      <c r="BR37">
        <v>5</v>
      </c>
      <c r="BS37" s="6">
        <f>BR37/BR76</f>
        <v>1.824817518248175E-2</v>
      </c>
      <c r="BT37" s="6">
        <f>5/$BT$3</f>
        <v>1.824817518248175E-2</v>
      </c>
      <c r="BV37">
        <v>13</v>
      </c>
      <c r="BW37" s="6">
        <f>BV37/BV76</f>
        <v>4.2622950819672129E-2</v>
      </c>
      <c r="BX37" s="6">
        <f>13/$BX$3</f>
        <v>4.2622950819672129E-2</v>
      </c>
      <c r="BZ37">
        <v>6</v>
      </c>
      <c r="CA37" s="6">
        <f>BZ37/BZ76</f>
        <v>2.6785714285714284E-2</v>
      </c>
      <c r="CB37" s="6">
        <f>6/$CB$3</f>
        <v>2.6785714285714284E-2</v>
      </c>
      <c r="CD37">
        <v>2</v>
      </c>
      <c r="CE37" s="6">
        <f>CD37/CD76</f>
        <v>8.2987551867219917E-3</v>
      </c>
      <c r="CF37" s="6">
        <f>2/$CF$3</f>
        <v>8.2987551867219917E-3</v>
      </c>
      <c r="CH37">
        <v>8</v>
      </c>
      <c r="CI37" s="6">
        <f>CH37/CH76</f>
        <v>2.4242424242424242E-2</v>
      </c>
      <c r="CJ37" s="6">
        <f>8/$CJ$3</f>
        <v>2.4242424242424242E-2</v>
      </c>
    </row>
    <row r="38" spans="1:89" x14ac:dyDescent="0.35">
      <c r="A38" s="1" t="s">
        <v>430</v>
      </c>
      <c r="B38">
        <v>57</v>
      </c>
      <c r="C38" s="6">
        <f>B38/B76</f>
        <v>5.1818181818181819E-2</v>
      </c>
      <c r="D38" s="6">
        <f>57/$D$3</f>
        <v>5.1818181818181819E-2</v>
      </c>
      <c r="F38">
        <v>47</v>
      </c>
      <c r="G38" s="6">
        <f>F38/F76</f>
        <v>5.159165751920966E-2</v>
      </c>
      <c r="H38" s="6">
        <f>47/$H$3</f>
        <v>5.159165751920966E-2</v>
      </c>
      <c r="J38">
        <v>33</v>
      </c>
      <c r="K38" s="6">
        <f>J38/J76</f>
        <v>7.6036866359447008E-2</v>
      </c>
      <c r="L38" s="6">
        <f>33/$L$3</f>
        <v>7.6036866359447008E-2</v>
      </c>
      <c r="N38">
        <v>14</v>
      </c>
      <c r="O38" s="6">
        <f>N38/N76</f>
        <v>0.1728395061728395</v>
      </c>
      <c r="P38" s="6">
        <f>14/$P$3</f>
        <v>0.1728395061728395</v>
      </c>
      <c r="R38">
        <v>25</v>
      </c>
      <c r="S38" s="6">
        <f>R38/R76</f>
        <v>4.4642857142857144E-2</v>
      </c>
      <c r="T38" s="6">
        <f>25/$T$3</f>
        <v>4.4642857142857144E-2</v>
      </c>
      <c r="V38">
        <v>32</v>
      </c>
      <c r="W38" s="6">
        <f>V38/V76</f>
        <v>5.9259259259259262E-2</v>
      </c>
      <c r="X38" s="6">
        <f>32/$X$3</f>
        <v>5.9259259259259262E-2</v>
      </c>
      <c r="Z38">
        <v>11</v>
      </c>
      <c r="AA38" s="6">
        <f>Z38/Z76</f>
        <v>9.7345132743362831E-2</v>
      </c>
      <c r="AB38" s="6">
        <f>11/$AB$3</f>
        <v>9.7345132743362831E-2</v>
      </c>
      <c r="AD38">
        <v>6</v>
      </c>
      <c r="AE38" s="6">
        <f>AD38/AD76</f>
        <v>3.0303030303030304E-2</v>
      </c>
      <c r="AF38" s="6">
        <f>6/$AF$3</f>
        <v>3.0303030303030304E-2</v>
      </c>
      <c r="AH38">
        <v>11</v>
      </c>
      <c r="AI38" s="6">
        <f>AH38/AH76</f>
        <v>4.4534412955465584E-2</v>
      </c>
      <c r="AJ38" s="6">
        <f>11/$AJ$3</f>
        <v>4.4534412955465584E-2</v>
      </c>
      <c r="AL38">
        <v>11</v>
      </c>
      <c r="AM38" s="6">
        <f>AL38/AL76</f>
        <v>4.7413793103448273E-2</v>
      </c>
      <c r="AN38" s="6">
        <f>11/$AN$3</f>
        <v>4.7413793103448273E-2</v>
      </c>
      <c r="AP38">
        <v>11</v>
      </c>
      <c r="AQ38" s="6">
        <f>AP38/AP76</f>
        <v>5.9139784946236562E-2</v>
      </c>
      <c r="AR38" s="6">
        <f>11/$AR$3</f>
        <v>5.9139784946236562E-2</v>
      </c>
      <c r="AT38">
        <v>7</v>
      </c>
      <c r="AU38" s="6">
        <f>AT38/AT76</f>
        <v>5.6451612903225805E-2</v>
      </c>
      <c r="AV38" s="6">
        <f>7/$AV$3</f>
        <v>5.6451612903225805E-2</v>
      </c>
      <c r="AX38">
        <v>25</v>
      </c>
      <c r="AY38" s="6">
        <f>AX38/AX76</f>
        <v>5.8139534883720929E-2</v>
      </c>
      <c r="AZ38" s="6">
        <f>25/$AZ$3</f>
        <v>5.8139534883720929E-2</v>
      </c>
      <c r="BB38">
        <v>26</v>
      </c>
      <c r="BC38" s="6">
        <f>BB38/BB76</f>
        <v>6.0747663551401869E-2</v>
      </c>
      <c r="BD38" s="6">
        <f>26/$BD$3</f>
        <v>6.0747663551401869E-2</v>
      </c>
      <c r="BF38">
        <v>6</v>
      </c>
      <c r="BG38" s="6">
        <f>BF38/BF76</f>
        <v>2.4793388429752067E-2</v>
      </c>
      <c r="BH38" s="6">
        <f>6/$BH$3</f>
        <v>2.4793388429752067E-2</v>
      </c>
      <c r="BJ38">
        <v>26</v>
      </c>
      <c r="BK38" s="6">
        <f>BJ38/BJ76</f>
        <v>6.4516129032258063E-2</v>
      </c>
      <c r="BL38" s="6">
        <f>26/$BL$3</f>
        <v>6.4516129032258063E-2</v>
      </c>
      <c r="BN38">
        <v>23</v>
      </c>
      <c r="BO38" s="6">
        <f>BN38/BN76</f>
        <v>5.4373522458628844E-2</v>
      </c>
      <c r="BP38" s="6">
        <f>23/$BP$3</f>
        <v>5.4373522458628844E-2</v>
      </c>
      <c r="BR38">
        <v>8</v>
      </c>
      <c r="BS38" s="6">
        <f>BR38/BR76</f>
        <v>2.9197080291970802E-2</v>
      </c>
      <c r="BT38" s="6">
        <f>8/$BT$3</f>
        <v>2.9197080291970802E-2</v>
      </c>
      <c r="BV38">
        <v>15</v>
      </c>
      <c r="BW38" s="6">
        <f>BV38/BV76</f>
        <v>4.9180327868852458E-2</v>
      </c>
      <c r="BX38" s="6">
        <f>15/$BX$3</f>
        <v>4.9180327868852458E-2</v>
      </c>
      <c r="BZ38">
        <v>13</v>
      </c>
      <c r="CA38" s="6">
        <f>BZ38/BZ76</f>
        <v>5.8035714285714288E-2</v>
      </c>
      <c r="CB38" s="6">
        <f>13/$CB$3</f>
        <v>5.8035714285714288E-2</v>
      </c>
      <c r="CD38">
        <v>11</v>
      </c>
      <c r="CE38" s="6">
        <f>CD38/CD76</f>
        <v>4.5643153526970952E-2</v>
      </c>
      <c r="CF38" s="6">
        <f>11/$CF$3</f>
        <v>4.5643153526970952E-2</v>
      </c>
      <c r="CH38">
        <v>18</v>
      </c>
      <c r="CI38" s="6">
        <f>CH38/CH76</f>
        <v>5.4545454545454543E-2</v>
      </c>
      <c r="CJ38" s="6">
        <f>18/$CJ$3</f>
        <v>5.4545454545454543E-2</v>
      </c>
    </row>
    <row r="39" spans="1:89" x14ac:dyDescent="0.35">
      <c r="A39" s="1" t="s">
        <v>431</v>
      </c>
      <c r="B39">
        <v>718</v>
      </c>
      <c r="C39" s="6">
        <f>B39/B76</f>
        <v>0.65272727272727271</v>
      </c>
      <c r="D39" s="6">
        <f>718/$D$3</f>
        <v>0.65272727272727271</v>
      </c>
      <c r="F39">
        <v>575</v>
      </c>
      <c r="G39" s="6">
        <f>F39/F76</f>
        <v>0.63117453347969266</v>
      </c>
      <c r="H39" s="6">
        <f>575/$H$3</f>
        <v>0.63117453347969266</v>
      </c>
      <c r="J39">
        <v>294</v>
      </c>
      <c r="K39" s="6">
        <f>J39/J76</f>
        <v>0.67741935483870963</v>
      </c>
      <c r="L39" s="6">
        <f>294/$L$3</f>
        <v>0.67741935483870963</v>
      </c>
      <c r="N39">
        <v>38</v>
      </c>
      <c r="O39" s="6">
        <f>N39/N76</f>
        <v>0.46913580246913578</v>
      </c>
      <c r="P39" s="8">
        <f>38/$P$3</f>
        <v>0.46913580246913578</v>
      </c>
      <c r="R39">
        <v>389</v>
      </c>
      <c r="S39" s="6">
        <f>R39/R76</f>
        <v>0.69464285714285712</v>
      </c>
      <c r="T39" s="6">
        <f>389/$T$3</f>
        <v>0.69464285714285712</v>
      </c>
      <c r="V39">
        <v>329</v>
      </c>
      <c r="W39" s="6">
        <f>V39/V76</f>
        <v>0.60925925925925928</v>
      </c>
      <c r="X39" s="6">
        <f>329/$X$3</f>
        <v>0.60925925925925928</v>
      </c>
      <c r="Z39">
        <v>62</v>
      </c>
      <c r="AA39" s="6">
        <f>Z39/Z76</f>
        <v>0.54867256637168138</v>
      </c>
      <c r="AB39" s="8">
        <f>62/$AB$3</f>
        <v>0.54867256637168138</v>
      </c>
      <c r="AD39">
        <v>131</v>
      </c>
      <c r="AE39" s="6">
        <f>AD39/AD76</f>
        <v>0.66161616161616166</v>
      </c>
      <c r="AF39" s="6">
        <f>131/$AF$3</f>
        <v>0.66161616161616166</v>
      </c>
      <c r="AH39">
        <v>168</v>
      </c>
      <c r="AI39" s="6">
        <f>AH39/AH76</f>
        <v>0.68016194331983804</v>
      </c>
      <c r="AJ39" s="6">
        <f>168/$AJ$3</f>
        <v>0.68016194331983804</v>
      </c>
      <c r="AL39">
        <v>158</v>
      </c>
      <c r="AM39" s="6">
        <f>AL39/AL76</f>
        <v>0.68103448275862066</v>
      </c>
      <c r="AN39" s="6">
        <f>158/$AN$3</f>
        <v>0.68103448275862066</v>
      </c>
      <c r="AP39">
        <v>121</v>
      </c>
      <c r="AQ39" s="6">
        <f>AP39/AP76</f>
        <v>0.65053763440860213</v>
      </c>
      <c r="AR39" s="6">
        <f>121/$AR$3</f>
        <v>0.65053763440860213</v>
      </c>
      <c r="AT39">
        <v>78</v>
      </c>
      <c r="AU39" s="6">
        <f>AT39/AT76</f>
        <v>0.62903225806451613</v>
      </c>
      <c r="AV39" s="6">
        <f>78/$AV$3</f>
        <v>0.62903225806451613</v>
      </c>
      <c r="AX39">
        <v>270</v>
      </c>
      <c r="AY39" s="6">
        <f>AX39/AX76</f>
        <v>0.62790697674418605</v>
      </c>
      <c r="AZ39" s="6">
        <f>270/$AZ$3</f>
        <v>0.62790697674418605</v>
      </c>
      <c r="BB39">
        <v>292</v>
      </c>
      <c r="BC39" s="6">
        <f>BB39/BB76</f>
        <v>0.68224299065420557</v>
      </c>
      <c r="BD39" s="6">
        <f>292/$BD$3</f>
        <v>0.68224299065420557</v>
      </c>
      <c r="BF39">
        <v>156</v>
      </c>
      <c r="BG39" s="6">
        <f>BF39/BF76</f>
        <v>0.64462809917355368</v>
      </c>
      <c r="BH39" s="6">
        <f>156/$BH$3</f>
        <v>0.64462809917355368</v>
      </c>
      <c r="BJ39">
        <v>263</v>
      </c>
      <c r="BK39" s="6">
        <f>BJ39/BJ76</f>
        <v>0.65260545905707201</v>
      </c>
      <c r="BL39" s="6">
        <f>263/$BL$3</f>
        <v>0.65260545905707201</v>
      </c>
      <c r="BN39">
        <v>273</v>
      </c>
      <c r="BO39" s="6">
        <f>BN39/BN76</f>
        <v>0.64539007092198586</v>
      </c>
      <c r="BP39" s="6">
        <f>273/$BP$3</f>
        <v>0.64539007092198586</v>
      </c>
      <c r="BR39">
        <v>182</v>
      </c>
      <c r="BS39" s="6">
        <f>BR39/BR76</f>
        <v>0.66423357664233573</v>
      </c>
      <c r="BT39" s="6">
        <f>182/$BT$3</f>
        <v>0.66423357664233573</v>
      </c>
      <c r="BV39">
        <v>225</v>
      </c>
      <c r="BW39" s="6">
        <f>BV39/BV76</f>
        <v>0.73770491803278693</v>
      </c>
      <c r="BX39" s="9">
        <f>225/$BX$3</f>
        <v>0.73770491803278693</v>
      </c>
      <c r="BY39" s="7"/>
      <c r="BZ39">
        <v>145</v>
      </c>
      <c r="CA39" s="6">
        <f>BZ39/BZ76</f>
        <v>0.6473214285714286</v>
      </c>
      <c r="CB39" s="6">
        <f>145/$CB$3</f>
        <v>0.6473214285714286</v>
      </c>
      <c r="CD39">
        <v>151</v>
      </c>
      <c r="CE39" s="6">
        <f>CD39/CD76</f>
        <v>0.62655601659751037</v>
      </c>
      <c r="CF39" s="6">
        <f>151/$CF$3</f>
        <v>0.62655601659751037</v>
      </c>
      <c r="CH39">
        <v>197</v>
      </c>
      <c r="CI39" s="6">
        <f>CH39/CH76</f>
        <v>0.59696969696969693</v>
      </c>
      <c r="CJ39" s="8">
        <f>197/$CJ$3</f>
        <v>0.59696969696969693</v>
      </c>
    </row>
    <row r="41" spans="1:89" x14ac:dyDescent="0.35">
      <c r="A41" s="1" t="s">
        <v>432</v>
      </c>
      <c r="B41">
        <v>411</v>
      </c>
      <c r="C41" s="6">
        <f>B41/B76</f>
        <v>0.37363636363636366</v>
      </c>
      <c r="D41" s="6">
        <f>411/$D$3</f>
        <v>0.37363636363636366</v>
      </c>
      <c r="F41">
        <v>376</v>
      </c>
      <c r="G41" s="6">
        <f>F41/F76</f>
        <v>0.41273326015367728</v>
      </c>
      <c r="H41" s="6">
        <f>376/$H$3</f>
        <v>0.41273326015367728</v>
      </c>
      <c r="J41">
        <v>411</v>
      </c>
      <c r="K41" s="6">
        <f>J41/J76</f>
        <v>0.94700460829493083</v>
      </c>
      <c r="L41" s="6">
        <f>411/$L$3</f>
        <v>0.94700460829493083</v>
      </c>
      <c r="N41">
        <v>0</v>
      </c>
      <c r="O41" s="6">
        <f>N41/N76</f>
        <v>0</v>
      </c>
      <c r="P41" s="8">
        <f>0/$P$3</f>
        <v>0</v>
      </c>
      <c r="R41">
        <v>237</v>
      </c>
      <c r="S41" s="6">
        <f>R41/R76</f>
        <v>0.42321428571428571</v>
      </c>
      <c r="T41" s="6">
        <f>237/$T$3</f>
        <v>0.42321428571428571</v>
      </c>
      <c r="V41">
        <v>174</v>
      </c>
      <c r="W41" s="6">
        <f>V41/V76</f>
        <v>0.32222222222222224</v>
      </c>
      <c r="X41" s="8">
        <f>174/$X$3</f>
        <v>0.32222222222222224</v>
      </c>
      <c r="Z41">
        <v>50</v>
      </c>
      <c r="AA41" s="6">
        <f>Z41/Z76</f>
        <v>0.44247787610619471</v>
      </c>
      <c r="AB41" s="6">
        <f>50/$AB$3</f>
        <v>0.44247787610619471</v>
      </c>
      <c r="AD41">
        <v>75</v>
      </c>
      <c r="AE41" s="6">
        <f>AD41/AD76</f>
        <v>0.37878787878787878</v>
      </c>
      <c r="AF41" s="6">
        <f>75/$AF$3</f>
        <v>0.37878787878787878</v>
      </c>
      <c r="AH41">
        <v>88</v>
      </c>
      <c r="AI41" s="6">
        <f>AH41/AH76</f>
        <v>0.35627530364372467</v>
      </c>
      <c r="AJ41" s="6">
        <f>88/$AJ$3</f>
        <v>0.35627530364372467</v>
      </c>
      <c r="AL41">
        <v>93</v>
      </c>
      <c r="AM41" s="6">
        <f>AL41/AL76</f>
        <v>0.40086206896551724</v>
      </c>
      <c r="AN41" s="6">
        <f>93/$AN$3</f>
        <v>0.40086206896551724</v>
      </c>
      <c r="AP41">
        <v>67</v>
      </c>
      <c r="AQ41" s="6">
        <f>AP41/AP76</f>
        <v>0.36021505376344087</v>
      </c>
      <c r="AR41" s="6">
        <f>67/$AR$3</f>
        <v>0.36021505376344087</v>
      </c>
      <c r="AT41">
        <v>38</v>
      </c>
      <c r="AU41" s="6">
        <f>AT41/AT76</f>
        <v>0.30645161290322581</v>
      </c>
      <c r="AV41" s="6">
        <f>38/$AV$3</f>
        <v>0.30645161290322581</v>
      </c>
      <c r="AX41">
        <v>172</v>
      </c>
      <c r="AY41" s="6">
        <f>AX41/AX76</f>
        <v>0.4</v>
      </c>
      <c r="AZ41" s="6">
        <f>172/$AZ$3</f>
        <v>0.4</v>
      </c>
      <c r="BB41">
        <v>162</v>
      </c>
      <c r="BC41" s="6">
        <f>BB41/BB76</f>
        <v>0.37850467289719625</v>
      </c>
      <c r="BD41" s="6">
        <f>162/$BD$3</f>
        <v>0.37850467289719625</v>
      </c>
      <c r="BF41">
        <v>77</v>
      </c>
      <c r="BG41" s="6">
        <f>BF41/BF76</f>
        <v>0.31818181818181818</v>
      </c>
      <c r="BH41" s="8">
        <f>77/$BH$3</f>
        <v>0.31818181818181818</v>
      </c>
      <c r="BJ41">
        <v>140</v>
      </c>
      <c r="BK41" s="6">
        <f>BJ41/BJ76</f>
        <v>0.34739454094292804</v>
      </c>
      <c r="BL41" s="6">
        <f>140/$BL$3</f>
        <v>0.34739454094292804</v>
      </c>
      <c r="BN41">
        <v>162</v>
      </c>
      <c r="BO41" s="6">
        <f>BN41/BN76</f>
        <v>0.38297872340425532</v>
      </c>
      <c r="BP41" s="6">
        <f>162/$BP$3</f>
        <v>0.38297872340425532</v>
      </c>
      <c r="BR41">
        <v>109</v>
      </c>
      <c r="BS41" s="6">
        <f>BR41/BR76</f>
        <v>0.3978102189781022</v>
      </c>
      <c r="BT41" s="6">
        <f>109/$BT$3</f>
        <v>0.3978102189781022</v>
      </c>
      <c r="BV41">
        <v>120</v>
      </c>
      <c r="BW41" s="6">
        <f>BV41/BV76</f>
        <v>0.39344262295081966</v>
      </c>
      <c r="BX41" s="6">
        <f>120/$BX$3</f>
        <v>0.39344262295081966</v>
      </c>
      <c r="BZ41">
        <v>96</v>
      </c>
      <c r="CA41" s="6">
        <f>BZ41/BZ76</f>
        <v>0.42857142857142855</v>
      </c>
      <c r="CB41" s="6">
        <f>96/$CB$3</f>
        <v>0.42857142857142855</v>
      </c>
      <c r="CD41">
        <v>85</v>
      </c>
      <c r="CE41" s="6">
        <f>CD41/CD76</f>
        <v>0.35269709543568467</v>
      </c>
      <c r="CF41" s="6">
        <f>85/$CF$3</f>
        <v>0.35269709543568467</v>
      </c>
      <c r="CH41">
        <v>110</v>
      </c>
      <c r="CI41" s="6">
        <f>CH41/CH76</f>
        <v>0.33333333333333331</v>
      </c>
      <c r="CJ41" s="6">
        <f>110/$CJ$3</f>
        <v>0.33333333333333331</v>
      </c>
    </row>
    <row r="42" spans="1:89" x14ac:dyDescent="0.35">
      <c r="A42" s="1" t="s">
        <v>433</v>
      </c>
      <c r="B42">
        <v>23</v>
      </c>
      <c r="C42" s="6">
        <f>B42/B76</f>
        <v>2.0909090909090908E-2</v>
      </c>
      <c r="D42" s="6">
        <f>23/$D$3</f>
        <v>2.0909090909090908E-2</v>
      </c>
      <c r="F42">
        <v>21</v>
      </c>
      <c r="G42" s="6">
        <f>F42/F76</f>
        <v>2.3051591657519209E-2</v>
      </c>
      <c r="H42" s="6">
        <f>21/$H$3</f>
        <v>2.3051591657519209E-2</v>
      </c>
      <c r="J42">
        <v>23</v>
      </c>
      <c r="K42" s="6">
        <f>J42/J76</f>
        <v>5.2995391705069124E-2</v>
      </c>
      <c r="L42" s="6">
        <f>23/$L$3</f>
        <v>5.2995391705069124E-2</v>
      </c>
      <c r="N42">
        <v>0</v>
      </c>
      <c r="O42" s="6">
        <f>N42/N76</f>
        <v>0</v>
      </c>
      <c r="P42" s="6">
        <f>0/$P$3</f>
        <v>0</v>
      </c>
      <c r="R42">
        <v>12</v>
      </c>
      <c r="S42" s="6">
        <f>R42/R76</f>
        <v>2.1428571428571429E-2</v>
      </c>
      <c r="T42" s="6">
        <f>12/$T$3</f>
        <v>2.1428571428571429E-2</v>
      </c>
      <c r="V42">
        <v>11</v>
      </c>
      <c r="W42" s="6">
        <f>V42/V76</f>
        <v>2.0370370370370372E-2</v>
      </c>
      <c r="X42" s="6">
        <f>11/$X$3</f>
        <v>2.0370370370370372E-2</v>
      </c>
      <c r="Z42">
        <v>2</v>
      </c>
      <c r="AA42" s="6">
        <f>Z42/Z76</f>
        <v>1.7699115044247787E-2</v>
      </c>
      <c r="AB42" s="6">
        <f>2/$AB$3</f>
        <v>1.7699115044247787E-2</v>
      </c>
      <c r="AD42">
        <v>5</v>
      </c>
      <c r="AE42" s="6">
        <f>AD42/AD76</f>
        <v>2.5252525252525252E-2</v>
      </c>
      <c r="AF42" s="6">
        <f>5/$AF$3</f>
        <v>2.5252525252525252E-2</v>
      </c>
      <c r="AH42">
        <v>4</v>
      </c>
      <c r="AI42" s="6">
        <f>AH42/AH76</f>
        <v>1.6194331983805668E-2</v>
      </c>
      <c r="AJ42" s="6">
        <f>4/$AJ$3</f>
        <v>1.6194331983805668E-2</v>
      </c>
      <c r="AL42">
        <v>7</v>
      </c>
      <c r="AM42" s="6">
        <f>AL42/AL76</f>
        <v>3.017241379310345E-2</v>
      </c>
      <c r="AN42" s="6">
        <f>7/$AN$3</f>
        <v>3.017241379310345E-2</v>
      </c>
      <c r="AP42">
        <v>4</v>
      </c>
      <c r="AQ42" s="6">
        <f>AP42/AP76</f>
        <v>2.1505376344086023E-2</v>
      </c>
      <c r="AR42" s="6">
        <f>4/$AR$3</f>
        <v>2.1505376344086023E-2</v>
      </c>
      <c r="AT42">
        <v>1</v>
      </c>
      <c r="AU42" s="6">
        <f>AT42/AT76</f>
        <v>8.0645161290322578E-3</v>
      </c>
      <c r="AV42" s="6">
        <f>1/$AV$3</f>
        <v>8.0645161290322578E-3</v>
      </c>
      <c r="AX42">
        <v>13</v>
      </c>
      <c r="AY42" s="6">
        <f>AX42/AX76</f>
        <v>3.0232558139534883E-2</v>
      </c>
      <c r="AZ42" s="6">
        <f>13/$AZ$3</f>
        <v>3.0232558139534883E-2</v>
      </c>
      <c r="BB42">
        <v>6</v>
      </c>
      <c r="BC42" s="6">
        <f>BB42/BB76</f>
        <v>1.4018691588785047E-2</v>
      </c>
      <c r="BD42" s="6">
        <f>6/$BD$3</f>
        <v>1.4018691588785047E-2</v>
      </c>
      <c r="BF42">
        <v>4</v>
      </c>
      <c r="BG42" s="6">
        <f>BF42/BF76</f>
        <v>1.6528925619834711E-2</v>
      </c>
      <c r="BH42" s="6">
        <f>4/$BH$3</f>
        <v>1.6528925619834711E-2</v>
      </c>
      <c r="BJ42">
        <v>13</v>
      </c>
      <c r="BK42" s="6">
        <f>BJ42/BJ76</f>
        <v>3.2258064516129031E-2</v>
      </c>
      <c r="BL42" s="6">
        <f>13/$BL$3</f>
        <v>3.2258064516129031E-2</v>
      </c>
      <c r="BN42">
        <v>7</v>
      </c>
      <c r="BO42" s="6">
        <f>BN42/BN76</f>
        <v>1.6548463356973995E-2</v>
      </c>
      <c r="BP42" s="6">
        <f>7/$BP$3</f>
        <v>1.6548463356973995E-2</v>
      </c>
      <c r="BR42">
        <v>3</v>
      </c>
      <c r="BS42" s="6">
        <f>BR42/BR76</f>
        <v>1.0948905109489052E-2</v>
      </c>
      <c r="BT42" s="6">
        <f>3/$BT$3</f>
        <v>1.0948905109489052E-2</v>
      </c>
      <c r="BV42">
        <v>5</v>
      </c>
      <c r="BW42" s="6">
        <f>BV42/BV76</f>
        <v>1.6393442622950821E-2</v>
      </c>
      <c r="BX42" s="6">
        <f>5/$BX$3</f>
        <v>1.6393442622950821E-2</v>
      </c>
      <c r="BZ42">
        <v>8</v>
      </c>
      <c r="CA42" s="6">
        <f>BZ42/BZ76</f>
        <v>3.5714285714285712E-2</v>
      </c>
      <c r="CB42" s="6">
        <f>8/$CB$3</f>
        <v>3.5714285714285712E-2</v>
      </c>
      <c r="CD42">
        <v>4</v>
      </c>
      <c r="CE42" s="6">
        <f>CD42/CD76</f>
        <v>1.6597510373443983E-2</v>
      </c>
      <c r="CF42" s="6">
        <f>4/$CF$3</f>
        <v>1.6597510373443983E-2</v>
      </c>
      <c r="CH42">
        <v>6</v>
      </c>
      <c r="CI42" s="6">
        <f>CH42/CH76</f>
        <v>1.8181818181818181E-2</v>
      </c>
      <c r="CJ42" s="6">
        <f>6/$CJ$3</f>
        <v>1.8181818181818181E-2</v>
      </c>
    </row>
    <row r="43" spans="1:89" x14ac:dyDescent="0.35">
      <c r="A43" s="1" t="s">
        <v>434</v>
      </c>
      <c r="B43">
        <v>81</v>
      </c>
      <c r="C43" s="6">
        <f>B43/B76</f>
        <v>7.3636363636363639E-2</v>
      </c>
      <c r="D43" s="6">
        <f>81/$D$3</f>
        <v>7.3636363636363639E-2</v>
      </c>
      <c r="F43">
        <v>67</v>
      </c>
      <c r="G43" s="6">
        <f>F43/F76</f>
        <v>7.3545554335894617E-2</v>
      </c>
      <c r="H43" s="6">
        <f>67/$H$3</f>
        <v>7.3545554335894617E-2</v>
      </c>
      <c r="J43">
        <v>0</v>
      </c>
      <c r="K43" s="6">
        <f>J43/J76</f>
        <v>0</v>
      </c>
      <c r="L43" s="8">
        <f>0/$L$3</f>
        <v>0</v>
      </c>
      <c r="N43">
        <v>81</v>
      </c>
      <c r="O43" s="6">
        <f>N43/N76</f>
        <v>1</v>
      </c>
      <c r="P43" s="6">
        <f>81/$P$3</f>
        <v>1</v>
      </c>
      <c r="R43">
        <v>37</v>
      </c>
      <c r="S43" s="6">
        <f>R43/R76</f>
        <v>6.6071428571428573E-2</v>
      </c>
      <c r="T43" s="6">
        <f>37/$T$3</f>
        <v>6.6071428571428573E-2</v>
      </c>
      <c r="V43">
        <v>44</v>
      </c>
      <c r="W43" s="6">
        <f>V43/V76</f>
        <v>8.1481481481481488E-2</v>
      </c>
      <c r="X43" s="6">
        <f>44/$X$3</f>
        <v>8.1481481481481488E-2</v>
      </c>
      <c r="Z43">
        <v>14</v>
      </c>
      <c r="AA43" s="6">
        <f>Z43/Z76</f>
        <v>0.12389380530973451</v>
      </c>
      <c r="AB43" s="9">
        <f>14/$AB$3</f>
        <v>0.12389380530973451</v>
      </c>
      <c r="AD43">
        <v>12</v>
      </c>
      <c r="AE43" s="6">
        <f>AD43/AD76</f>
        <v>6.0606060606060608E-2</v>
      </c>
      <c r="AF43" s="6">
        <f>12/$AF$3</f>
        <v>6.0606060606060608E-2</v>
      </c>
      <c r="AH43">
        <v>12</v>
      </c>
      <c r="AI43" s="6">
        <f>AH43/AH76</f>
        <v>4.8582995951417005E-2</v>
      </c>
      <c r="AJ43" s="6">
        <f>12/$AJ$3</f>
        <v>4.8582995951417005E-2</v>
      </c>
      <c r="AL43">
        <v>21</v>
      </c>
      <c r="AM43" s="6">
        <f>AL43/AL76</f>
        <v>9.0517241379310345E-2</v>
      </c>
      <c r="AN43" s="6">
        <f>21/$AN$3</f>
        <v>9.0517241379310345E-2</v>
      </c>
      <c r="AP43">
        <v>15</v>
      </c>
      <c r="AQ43" s="6">
        <f>AP43/AP76</f>
        <v>8.0645161290322578E-2</v>
      </c>
      <c r="AR43" s="6">
        <f>15/$AR$3</f>
        <v>8.0645161290322578E-2</v>
      </c>
      <c r="AT43">
        <v>7</v>
      </c>
      <c r="AU43" s="6">
        <f>AT43/AT76</f>
        <v>5.6451612903225805E-2</v>
      </c>
      <c r="AV43" s="6">
        <f>7/$AV$3</f>
        <v>5.6451612903225805E-2</v>
      </c>
      <c r="AX43">
        <v>29</v>
      </c>
      <c r="AY43" s="6">
        <f>AX43/AX76</f>
        <v>6.7441860465116285E-2</v>
      </c>
      <c r="AZ43" s="6">
        <f>29/$AZ$3</f>
        <v>6.7441860465116285E-2</v>
      </c>
      <c r="BB43">
        <v>34</v>
      </c>
      <c r="BC43" s="6">
        <f>BB43/BB76</f>
        <v>7.9439252336448593E-2</v>
      </c>
      <c r="BD43" s="6">
        <f>34/$BD$3</f>
        <v>7.9439252336448593E-2</v>
      </c>
      <c r="BF43">
        <v>18</v>
      </c>
      <c r="BG43" s="6">
        <f>BF43/BF76</f>
        <v>7.43801652892562E-2</v>
      </c>
      <c r="BH43" s="6">
        <f>18/$BH$3</f>
        <v>7.43801652892562E-2</v>
      </c>
      <c r="BJ43">
        <v>32</v>
      </c>
      <c r="BK43" s="6">
        <f>BJ43/BJ76</f>
        <v>7.9404466501240695E-2</v>
      </c>
      <c r="BL43" s="6">
        <f>32/$BL$3</f>
        <v>7.9404466501240695E-2</v>
      </c>
      <c r="BN43">
        <v>26</v>
      </c>
      <c r="BO43" s="6">
        <f>BN43/BN76</f>
        <v>6.1465721040189124E-2</v>
      </c>
      <c r="BP43" s="6">
        <f>26/$BP$3</f>
        <v>6.1465721040189124E-2</v>
      </c>
      <c r="BR43">
        <v>23</v>
      </c>
      <c r="BS43" s="6">
        <f>BR43/BR76</f>
        <v>8.3941605839416053E-2</v>
      </c>
      <c r="BT43" s="6">
        <f>23/$BT$3</f>
        <v>8.3941605839416053E-2</v>
      </c>
      <c r="BV43">
        <v>24</v>
      </c>
      <c r="BW43" s="6">
        <f>BV43/BV76</f>
        <v>7.8688524590163941E-2</v>
      </c>
      <c r="BX43" s="6">
        <f>24/$BX$3</f>
        <v>7.8688524590163941E-2</v>
      </c>
      <c r="BZ43">
        <v>17</v>
      </c>
      <c r="CA43" s="6">
        <f>BZ43/BZ76</f>
        <v>7.5892857142857137E-2</v>
      </c>
      <c r="CB43" s="6">
        <f>17/$CB$3</f>
        <v>7.5892857142857137E-2</v>
      </c>
      <c r="CD43">
        <v>16</v>
      </c>
      <c r="CE43" s="6">
        <f>CD43/CD76</f>
        <v>6.6390041493775934E-2</v>
      </c>
      <c r="CF43" s="6">
        <f>16/$CF$3</f>
        <v>6.6390041493775934E-2</v>
      </c>
      <c r="CH43">
        <v>24</v>
      </c>
      <c r="CI43" s="6">
        <f>CH43/CH76</f>
        <v>7.2727272727272724E-2</v>
      </c>
      <c r="CJ43" s="6">
        <f>24/$CJ$3</f>
        <v>7.2727272727272724E-2</v>
      </c>
    </row>
    <row r="44" spans="1:89" x14ac:dyDescent="0.35">
      <c r="A44" s="1" t="s">
        <v>435</v>
      </c>
      <c r="B44">
        <v>585</v>
      </c>
      <c r="C44" s="6">
        <f>B44/B76</f>
        <v>0.53181818181818186</v>
      </c>
      <c r="D44" s="6">
        <f>585/$D$3</f>
        <v>0.53181818181818186</v>
      </c>
      <c r="F44">
        <v>447</v>
      </c>
      <c r="G44" s="6">
        <f>F44/F76</f>
        <v>0.49066959385290887</v>
      </c>
      <c r="H44" s="6">
        <f>447/$H$3</f>
        <v>0.49066959385290887</v>
      </c>
      <c r="J44">
        <v>0</v>
      </c>
      <c r="K44" s="6">
        <f>J44/J76</f>
        <v>0</v>
      </c>
      <c r="L44" s="8">
        <f>0/$L$3</f>
        <v>0</v>
      </c>
      <c r="N44">
        <v>0</v>
      </c>
      <c r="O44" s="6">
        <f>N44/N76</f>
        <v>0</v>
      </c>
      <c r="P44" s="8">
        <f>0/$P$3</f>
        <v>0</v>
      </c>
      <c r="R44">
        <v>274</v>
      </c>
      <c r="S44" s="6">
        <f>R44/R76</f>
        <v>0.48928571428571427</v>
      </c>
      <c r="T44" s="6">
        <f>274/$T$3</f>
        <v>0.48928571428571427</v>
      </c>
      <c r="V44">
        <v>311</v>
      </c>
      <c r="W44" s="6">
        <f>V44/V76</f>
        <v>0.57592592592592595</v>
      </c>
      <c r="X44" s="6">
        <f>311/$X$3</f>
        <v>0.57592592592592595</v>
      </c>
      <c r="Z44">
        <v>47</v>
      </c>
      <c r="AA44" s="6">
        <f>Z44/Z76</f>
        <v>0.41592920353982299</v>
      </c>
      <c r="AB44" s="8">
        <f>47/$AB$3</f>
        <v>0.41592920353982299</v>
      </c>
      <c r="AD44">
        <v>106</v>
      </c>
      <c r="AE44" s="6">
        <f>AD44/AD76</f>
        <v>0.53535353535353536</v>
      </c>
      <c r="AF44" s="6">
        <f>106/$AF$3</f>
        <v>0.53535353535353536</v>
      </c>
      <c r="AH44">
        <v>143</v>
      </c>
      <c r="AI44" s="6">
        <f>AH44/AH76</f>
        <v>0.57894736842105265</v>
      </c>
      <c r="AJ44" s="6">
        <f>143/$AJ$3</f>
        <v>0.57894736842105265</v>
      </c>
      <c r="AK44" s="7"/>
      <c r="AL44">
        <v>111</v>
      </c>
      <c r="AM44" s="6">
        <f>AL44/AL76</f>
        <v>0.47844827586206895</v>
      </c>
      <c r="AN44" s="6">
        <f>111/$AN$3</f>
        <v>0.47844827586206895</v>
      </c>
      <c r="AP44">
        <v>100</v>
      </c>
      <c r="AQ44" s="6">
        <f>AP44/AP76</f>
        <v>0.5376344086021505</v>
      </c>
      <c r="AR44" s="6">
        <f>100/$AR$3</f>
        <v>0.5376344086021505</v>
      </c>
      <c r="AT44">
        <v>78</v>
      </c>
      <c r="AU44" s="6">
        <f>AT44/AT76</f>
        <v>0.62903225806451613</v>
      </c>
      <c r="AV44" s="9">
        <f>78/$AV$3</f>
        <v>0.62903225806451613</v>
      </c>
      <c r="AW44" s="7"/>
      <c r="AX44">
        <v>216</v>
      </c>
      <c r="AY44" s="6">
        <f>AX44/AX76</f>
        <v>0.50232558139534889</v>
      </c>
      <c r="AZ44" s="6">
        <f>216/$AZ$3</f>
        <v>0.50232558139534889</v>
      </c>
      <c r="BB44">
        <v>226</v>
      </c>
      <c r="BC44" s="6">
        <f>BB44/BB76</f>
        <v>0.5280373831775701</v>
      </c>
      <c r="BD44" s="6">
        <f>226/$BD$3</f>
        <v>0.5280373831775701</v>
      </c>
      <c r="BF44">
        <v>143</v>
      </c>
      <c r="BG44" s="6">
        <f>BF44/BF76</f>
        <v>0.59090909090909094</v>
      </c>
      <c r="BH44" s="9">
        <f>143/$BH$3</f>
        <v>0.59090909090909094</v>
      </c>
      <c r="BJ44">
        <v>218</v>
      </c>
      <c r="BK44" s="6">
        <f>BJ44/BJ76</f>
        <v>0.54094292803970223</v>
      </c>
      <c r="BL44" s="6">
        <f>218/$BL$3</f>
        <v>0.54094292803970223</v>
      </c>
      <c r="BN44">
        <v>228</v>
      </c>
      <c r="BO44" s="6">
        <f>BN44/BN76</f>
        <v>0.53900709219858156</v>
      </c>
      <c r="BP44" s="6">
        <f>228/$BP$3</f>
        <v>0.53900709219858156</v>
      </c>
      <c r="BR44">
        <v>139</v>
      </c>
      <c r="BS44" s="6">
        <f>BR44/BR76</f>
        <v>0.50729927007299269</v>
      </c>
      <c r="BT44" s="6">
        <f>139/$BT$3</f>
        <v>0.50729927007299269</v>
      </c>
      <c r="BV44">
        <v>156</v>
      </c>
      <c r="BW44" s="6">
        <f>BV44/BV76</f>
        <v>0.51147540983606554</v>
      </c>
      <c r="BX44" s="6">
        <f>156/$BX$3</f>
        <v>0.51147540983606554</v>
      </c>
      <c r="BZ44">
        <v>103</v>
      </c>
      <c r="CA44" s="6">
        <f>BZ44/BZ76</f>
        <v>0.45982142857142855</v>
      </c>
      <c r="CB44" s="8">
        <f>103/$CB$3</f>
        <v>0.45982142857142855</v>
      </c>
      <c r="CD44">
        <v>136</v>
      </c>
      <c r="CE44" s="6">
        <f>CD44/CD76</f>
        <v>0.56431535269709543</v>
      </c>
      <c r="CF44" s="6">
        <f>136/$CF$3</f>
        <v>0.56431535269709543</v>
      </c>
      <c r="CH44">
        <v>190</v>
      </c>
      <c r="CI44" s="6">
        <f>CH44/CH76</f>
        <v>0.5757575757575758</v>
      </c>
      <c r="CJ44" s="6">
        <f>190/$CJ$3</f>
        <v>0.5757575757575758</v>
      </c>
    </row>
    <row r="46" spans="1:89" x14ac:dyDescent="0.35">
      <c r="A46" s="1" t="s">
        <v>436</v>
      </c>
      <c r="B46">
        <v>604</v>
      </c>
      <c r="C46" s="6">
        <f>B46/B76</f>
        <v>0.54909090909090907</v>
      </c>
      <c r="D46" s="6">
        <f>604/$D$3</f>
        <v>0.54909090909090907</v>
      </c>
      <c r="F46">
        <v>556</v>
      </c>
      <c r="G46" s="6">
        <f>F46/F76</f>
        <v>0.61031833150384196</v>
      </c>
      <c r="H46" s="9">
        <f>556/$H$3</f>
        <v>0.61031833150384196</v>
      </c>
      <c r="J46">
        <v>282</v>
      </c>
      <c r="K46" s="6">
        <f>J46/J76</f>
        <v>0.64976958525345618</v>
      </c>
      <c r="L46" s="9">
        <f>282/$L$3</f>
        <v>0.64976958525345618</v>
      </c>
      <c r="N46">
        <v>39</v>
      </c>
      <c r="O46" s="6">
        <f>N46/N76</f>
        <v>0.48148148148148145</v>
      </c>
      <c r="P46" s="6">
        <f>39/$P$3</f>
        <v>0.48148148148148145</v>
      </c>
      <c r="R46">
        <v>306</v>
      </c>
      <c r="S46" s="6">
        <f>R46/R76</f>
        <v>0.54642857142857137</v>
      </c>
      <c r="T46" s="6">
        <f>306/$T$3</f>
        <v>0.54642857142857137</v>
      </c>
      <c r="V46">
        <v>298</v>
      </c>
      <c r="W46" s="6">
        <f>V46/V76</f>
        <v>0.55185185185185182</v>
      </c>
      <c r="X46" s="6">
        <f>298/$X$3</f>
        <v>0.55185185185185182</v>
      </c>
      <c r="Z46">
        <v>87</v>
      </c>
      <c r="AA46" s="6">
        <f>Z46/Z76</f>
        <v>0.76991150442477874</v>
      </c>
      <c r="AB46" s="9">
        <f>87/$AB$3</f>
        <v>0.76991150442477874</v>
      </c>
      <c r="AC46" s="7"/>
      <c r="AD46">
        <v>134</v>
      </c>
      <c r="AE46" s="6">
        <f>AD46/AD76</f>
        <v>0.6767676767676768</v>
      </c>
      <c r="AF46" s="9">
        <f>134/$AF$3</f>
        <v>0.6767676767676768</v>
      </c>
      <c r="AG46" s="7"/>
      <c r="AH46">
        <v>159</v>
      </c>
      <c r="AI46" s="6">
        <f>AH46/AH76</f>
        <v>0.64372469635627527</v>
      </c>
      <c r="AJ46" s="9">
        <f>159/$AJ$3</f>
        <v>0.64372469635627527</v>
      </c>
      <c r="AK46" s="7"/>
      <c r="AL46">
        <v>127</v>
      </c>
      <c r="AM46" s="6">
        <f>AL46/AL76</f>
        <v>0.54741379310344829</v>
      </c>
      <c r="AN46" s="6">
        <f>127/$AN$3</f>
        <v>0.54741379310344829</v>
      </c>
      <c r="AO46" s="7"/>
      <c r="AP46">
        <v>68</v>
      </c>
      <c r="AQ46" s="6">
        <f>AP46/AP76</f>
        <v>0.36559139784946237</v>
      </c>
      <c r="AR46" s="8">
        <f>68/$AR$3</f>
        <v>0.36559139784946237</v>
      </c>
      <c r="AT46">
        <v>29</v>
      </c>
      <c r="AU46" s="6">
        <f>AT46/AT76</f>
        <v>0.23387096774193547</v>
      </c>
      <c r="AV46" s="8">
        <f>29/$AV$3</f>
        <v>0.23387096774193547</v>
      </c>
      <c r="AX46">
        <v>229</v>
      </c>
      <c r="AY46" s="6">
        <f>AX46/AX76</f>
        <v>0.53255813953488373</v>
      </c>
      <c r="AZ46" s="6">
        <f>229/$AZ$3</f>
        <v>0.53255813953488373</v>
      </c>
      <c r="BB46">
        <v>241</v>
      </c>
      <c r="BC46" s="6">
        <f>BB46/BB76</f>
        <v>0.56308411214953269</v>
      </c>
      <c r="BD46" s="6">
        <f>241/$BD$3</f>
        <v>0.56308411214953269</v>
      </c>
      <c r="BF46">
        <v>134</v>
      </c>
      <c r="BG46" s="6">
        <f>BF46/BF76</f>
        <v>0.55371900826446285</v>
      </c>
      <c r="BH46" s="6">
        <f>134/$BH$3</f>
        <v>0.55371900826446285</v>
      </c>
      <c r="BJ46">
        <v>212</v>
      </c>
      <c r="BK46" s="6">
        <f>BJ46/BJ76</f>
        <v>0.52605459057071957</v>
      </c>
      <c r="BL46" s="6">
        <f>212/$BL$3</f>
        <v>0.52605459057071957</v>
      </c>
      <c r="BN46">
        <v>232</v>
      </c>
      <c r="BO46" s="6">
        <f>BN46/BN76</f>
        <v>0.54846335697399529</v>
      </c>
      <c r="BP46" s="6">
        <f>232/$BP$3</f>
        <v>0.54846335697399529</v>
      </c>
      <c r="BR46">
        <v>160</v>
      </c>
      <c r="BS46" s="6">
        <f>BR46/BR76</f>
        <v>0.58394160583941601</v>
      </c>
      <c r="BT46" s="6">
        <f>160/$BT$3</f>
        <v>0.58394160583941601</v>
      </c>
      <c r="BV46">
        <v>157</v>
      </c>
      <c r="BW46" s="6">
        <f>BV46/BV76</f>
        <v>0.51475409836065578</v>
      </c>
      <c r="BX46" s="6">
        <f>157/$BX$3</f>
        <v>0.51475409836065578</v>
      </c>
      <c r="BZ46">
        <v>132</v>
      </c>
      <c r="CA46" s="6">
        <f>BZ46/BZ76</f>
        <v>0.5892857142857143</v>
      </c>
      <c r="CB46" s="6">
        <f>132/$CB$3</f>
        <v>0.5892857142857143</v>
      </c>
      <c r="CD46">
        <v>135</v>
      </c>
      <c r="CE46" s="6">
        <f>CD46/CD76</f>
        <v>0.56016597510373445</v>
      </c>
      <c r="CF46" s="6">
        <f>135/$CF$3</f>
        <v>0.56016597510373445</v>
      </c>
      <c r="CH46">
        <v>180</v>
      </c>
      <c r="CI46" s="6">
        <f>CH46/CH76</f>
        <v>0.54545454545454541</v>
      </c>
      <c r="CJ46" s="6">
        <f>180/$CJ$3</f>
        <v>0.54545454545454541</v>
      </c>
    </row>
    <row r="47" spans="1:89" x14ac:dyDescent="0.35">
      <c r="A47" s="1" t="s">
        <v>437</v>
      </c>
      <c r="B47">
        <v>39</v>
      </c>
      <c r="C47" s="6">
        <f>B47/B76</f>
        <v>3.5454545454545454E-2</v>
      </c>
      <c r="D47" s="6">
        <f>39/$D$3</f>
        <v>3.5454545454545454E-2</v>
      </c>
      <c r="F47">
        <v>32</v>
      </c>
      <c r="G47" s="6">
        <f>F47/F76</f>
        <v>3.512623490669594E-2</v>
      </c>
      <c r="H47" s="6">
        <f>32/$H$3</f>
        <v>3.512623490669594E-2</v>
      </c>
      <c r="J47">
        <v>16</v>
      </c>
      <c r="K47" s="6">
        <f>J47/J76</f>
        <v>3.6866359447004608E-2</v>
      </c>
      <c r="L47" s="6">
        <f>16/$L$3</f>
        <v>3.6866359447004608E-2</v>
      </c>
      <c r="N47">
        <v>4</v>
      </c>
      <c r="O47" s="6">
        <f>N47/N76</f>
        <v>4.9382716049382713E-2</v>
      </c>
      <c r="P47" s="6">
        <f>4/$P$3</f>
        <v>4.9382716049382713E-2</v>
      </c>
      <c r="R47">
        <v>22</v>
      </c>
      <c r="S47" s="6">
        <f>R47/R76</f>
        <v>3.9285714285714285E-2</v>
      </c>
      <c r="T47" s="6">
        <f>22/$T$3</f>
        <v>3.9285714285714285E-2</v>
      </c>
      <c r="V47">
        <v>17</v>
      </c>
      <c r="W47" s="6">
        <f>V47/V76</f>
        <v>3.1481481481481478E-2</v>
      </c>
      <c r="X47" s="6">
        <f>17/$X$3</f>
        <v>3.1481481481481478E-2</v>
      </c>
      <c r="Z47">
        <v>7</v>
      </c>
      <c r="AA47" s="6">
        <f>Z47/Z76</f>
        <v>6.1946902654867256E-2</v>
      </c>
      <c r="AB47" s="6">
        <f>7/$AB$3</f>
        <v>6.1946902654867256E-2</v>
      </c>
      <c r="AD47">
        <v>13</v>
      </c>
      <c r="AE47" s="6">
        <f>AD47/AD76</f>
        <v>6.5656565656565663E-2</v>
      </c>
      <c r="AF47" s="6">
        <f>13/$AF$3</f>
        <v>6.5656565656565663E-2</v>
      </c>
      <c r="AH47">
        <v>7</v>
      </c>
      <c r="AI47" s="6">
        <f>AH47/AH76</f>
        <v>2.8340080971659919E-2</v>
      </c>
      <c r="AJ47" s="6">
        <f>7/$AJ$3</f>
        <v>2.8340080971659919E-2</v>
      </c>
      <c r="AL47">
        <v>4</v>
      </c>
      <c r="AM47" s="6">
        <f>AL47/AL76</f>
        <v>1.7241379310344827E-2</v>
      </c>
      <c r="AN47" s="6">
        <f>4/$AN$3</f>
        <v>1.7241379310344827E-2</v>
      </c>
      <c r="AP47">
        <v>4</v>
      </c>
      <c r="AQ47" s="6">
        <f>AP47/AP76</f>
        <v>2.1505376344086023E-2</v>
      </c>
      <c r="AR47" s="6">
        <f>4/$AR$3</f>
        <v>2.1505376344086023E-2</v>
      </c>
      <c r="AT47">
        <v>4</v>
      </c>
      <c r="AU47" s="6">
        <f>AT47/AT76</f>
        <v>3.2258064516129031E-2</v>
      </c>
      <c r="AV47" s="6">
        <f>4/$AV$3</f>
        <v>3.2258064516129031E-2</v>
      </c>
      <c r="AX47">
        <v>13</v>
      </c>
      <c r="AY47" s="6">
        <f>AX47/AX76</f>
        <v>3.0232558139534883E-2</v>
      </c>
      <c r="AZ47" s="6">
        <f>13/$AZ$3</f>
        <v>3.0232558139534883E-2</v>
      </c>
      <c r="BB47">
        <v>19</v>
      </c>
      <c r="BC47" s="6">
        <f>BB47/BB76</f>
        <v>4.4392523364485979E-2</v>
      </c>
      <c r="BD47" s="6">
        <f>19/$BD$3</f>
        <v>4.4392523364485979E-2</v>
      </c>
      <c r="BF47">
        <v>7</v>
      </c>
      <c r="BG47" s="6">
        <f>BF47/BF76</f>
        <v>2.8925619834710745E-2</v>
      </c>
      <c r="BH47" s="6">
        <f>7/$BH$3</f>
        <v>2.8925619834710745E-2</v>
      </c>
      <c r="BJ47">
        <v>20</v>
      </c>
      <c r="BK47" s="6">
        <f>BJ47/BJ76</f>
        <v>4.9627791563275438E-2</v>
      </c>
      <c r="BL47" s="6">
        <f>20/$BL$3</f>
        <v>4.9627791563275438E-2</v>
      </c>
      <c r="BN47">
        <v>12</v>
      </c>
      <c r="BO47" s="6">
        <f>BN47/BN76</f>
        <v>2.8368794326241134E-2</v>
      </c>
      <c r="BP47" s="6">
        <f>12/$BP$3</f>
        <v>2.8368794326241134E-2</v>
      </c>
      <c r="BR47">
        <v>7</v>
      </c>
      <c r="BS47" s="6">
        <f>BR47/BR76</f>
        <v>2.5547445255474453E-2</v>
      </c>
      <c r="BT47" s="6">
        <f>7/$BT$3</f>
        <v>2.5547445255474453E-2</v>
      </c>
      <c r="BV47">
        <v>12</v>
      </c>
      <c r="BW47" s="6">
        <f>BV47/BV76</f>
        <v>3.9344262295081971E-2</v>
      </c>
      <c r="BX47" s="6">
        <f>12/$BX$3</f>
        <v>3.9344262295081971E-2</v>
      </c>
      <c r="BZ47">
        <v>6</v>
      </c>
      <c r="CA47" s="6">
        <f>BZ47/BZ76</f>
        <v>2.6785714285714284E-2</v>
      </c>
      <c r="CB47" s="6">
        <f>6/$CB$3</f>
        <v>2.6785714285714284E-2</v>
      </c>
      <c r="CD47">
        <v>8</v>
      </c>
      <c r="CE47" s="6">
        <f>CD47/CD76</f>
        <v>3.3195020746887967E-2</v>
      </c>
      <c r="CF47" s="6">
        <f>8/$CF$3</f>
        <v>3.3195020746887967E-2</v>
      </c>
      <c r="CH47">
        <v>13</v>
      </c>
      <c r="CI47" s="6">
        <f>CH47/CH76</f>
        <v>3.9393939393939391E-2</v>
      </c>
      <c r="CJ47" s="6">
        <f>13/$CJ$3</f>
        <v>3.9393939393939391E-2</v>
      </c>
    </row>
    <row r="48" spans="1:89" x14ac:dyDescent="0.35">
      <c r="A48" s="1" t="s">
        <v>438</v>
      </c>
      <c r="B48">
        <v>78</v>
      </c>
      <c r="C48" s="6">
        <f>B48/B76</f>
        <v>7.0909090909090908E-2</v>
      </c>
      <c r="D48" s="6">
        <f>78/$D$3</f>
        <v>7.0909090909090908E-2</v>
      </c>
      <c r="F48">
        <v>66</v>
      </c>
      <c r="G48" s="6">
        <f>F48/F76</f>
        <v>7.2447859495060371E-2</v>
      </c>
      <c r="H48" s="6">
        <f>66/$H$3</f>
        <v>7.2447859495060371E-2</v>
      </c>
      <c r="J48">
        <v>32</v>
      </c>
      <c r="K48" s="6">
        <f>J48/J76</f>
        <v>7.3732718894009217E-2</v>
      </c>
      <c r="L48" s="6">
        <f>32/$L$3</f>
        <v>7.3732718894009217E-2</v>
      </c>
      <c r="N48">
        <v>12</v>
      </c>
      <c r="O48" s="6">
        <f>N48/N76</f>
        <v>0.14814814814814814</v>
      </c>
      <c r="P48" s="9">
        <f>12/$P$3</f>
        <v>0.14814814814814814</v>
      </c>
      <c r="R48">
        <v>32</v>
      </c>
      <c r="S48" s="6">
        <f>R48/R76</f>
        <v>5.7142857142857141E-2</v>
      </c>
      <c r="T48" s="6">
        <f>32/$T$3</f>
        <v>5.7142857142857141E-2</v>
      </c>
      <c r="V48">
        <v>46</v>
      </c>
      <c r="W48" s="6">
        <f>V48/V76</f>
        <v>8.5185185185185183E-2</v>
      </c>
      <c r="X48" s="6">
        <f>46/$X$3</f>
        <v>8.5185185185185183E-2</v>
      </c>
      <c r="Z48">
        <v>8</v>
      </c>
      <c r="AA48" s="6">
        <f>Z48/Z76</f>
        <v>7.0796460176991149E-2</v>
      </c>
      <c r="AB48" s="6">
        <f>8/$AB$3</f>
        <v>7.0796460176991149E-2</v>
      </c>
      <c r="AD48">
        <v>9</v>
      </c>
      <c r="AE48" s="6">
        <f>AD48/AD76</f>
        <v>4.5454545454545456E-2</v>
      </c>
      <c r="AF48" s="6">
        <f>9/$AF$3</f>
        <v>4.5454545454545456E-2</v>
      </c>
      <c r="AH48">
        <v>16</v>
      </c>
      <c r="AI48" s="6">
        <f>AH48/AH76</f>
        <v>6.4777327935222673E-2</v>
      </c>
      <c r="AJ48" s="6">
        <f>16/$AJ$3</f>
        <v>6.4777327935222673E-2</v>
      </c>
      <c r="AL48">
        <v>19</v>
      </c>
      <c r="AM48" s="6">
        <f>AL48/AL76</f>
        <v>8.1896551724137928E-2</v>
      </c>
      <c r="AN48" s="6">
        <f>19/$AN$3</f>
        <v>8.1896551724137928E-2</v>
      </c>
      <c r="AP48">
        <v>16</v>
      </c>
      <c r="AQ48" s="6">
        <f>AP48/AP76</f>
        <v>8.6021505376344093E-2</v>
      </c>
      <c r="AR48" s="6">
        <f>16/$AR$3</f>
        <v>8.6021505376344093E-2</v>
      </c>
      <c r="AT48">
        <v>10</v>
      </c>
      <c r="AU48" s="6">
        <f>AT48/AT76</f>
        <v>8.0645161290322578E-2</v>
      </c>
      <c r="AV48" s="6">
        <f>10/$AV$3</f>
        <v>8.0645161290322578E-2</v>
      </c>
      <c r="AX48">
        <v>27</v>
      </c>
      <c r="AY48" s="6">
        <f>AX48/AX76</f>
        <v>6.2790697674418611E-2</v>
      </c>
      <c r="AZ48" s="6">
        <f>27/$AZ$3</f>
        <v>6.2790697674418611E-2</v>
      </c>
      <c r="BB48">
        <v>31</v>
      </c>
      <c r="BC48" s="6">
        <f>BB48/BB76</f>
        <v>7.2429906542056069E-2</v>
      </c>
      <c r="BD48" s="6">
        <f>31/$BD$3</f>
        <v>7.2429906542056069E-2</v>
      </c>
      <c r="BF48">
        <v>20</v>
      </c>
      <c r="BG48" s="6">
        <f>BF48/BF76</f>
        <v>8.2644628099173556E-2</v>
      </c>
      <c r="BH48" s="6">
        <f>20/$BH$3</f>
        <v>8.2644628099173556E-2</v>
      </c>
      <c r="BJ48">
        <v>31</v>
      </c>
      <c r="BK48" s="6">
        <f>BJ48/BJ76</f>
        <v>7.6923076923076927E-2</v>
      </c>
      <c r="BL48" s="6">
        <f>31/$BL$3</f>
        <v>7.6923076923076927E-2</v>
      </c>
      <c r="BN48">
        <v>31</v>
      </c>
      <c r="BO48" s="6">
        <f>BN48/BN76</f>
        <v>7.328605200945626E-2</v>
      </c>
      <c r="BP48" s="6">
        <f>31/$BP$3</f>
        <v>7.328605200945626E-2</v>
      </c>
      <c r="BR48">
        <v>16</v>
      </c>
      <c r="BS48" s="6">
        <f>BR48/BR76</f>
        <v>5.8394160583941604E-2</v>
      </c>
      <c r="BT48" s="6">
        <f>16/$BT$3</f>
        <v>5.8394160583941604E-2</v>
      </c>
      <c r="BV48">
        <v>23</v>
      </c>
      <c r="BW48" s="6">
        <f>BV48/BV76</f>
        <v>7.5409836065573776E-2</v>
      </c>
      <c r="BX48" s="6">
        <f>23/$BX$3</f>
        <v>7.5409836065573776E-2</v>
      </c>
      <c r="BZ48">
        <v>13</v>
      </c>
      <c r="CA48" s="6">
        <f>BZ48/BZ76</f>
        <v>5.8035714285714288E-2</v>
      </c>
      <c r="CB48" s="6">
        <f>13/$CB$3</f>
        <v>5.8035714285714288E-2</v>
      </c>
      <c r="CD48">
        <v>13</v>
      </c>
      <c r="CE48" s="6">
        <f>CD48/CD76</f>
        <v>5.3941908713692949E-2</v>
      </c>
      <c r="CF48" s="6">
        <f>13/$CF$3</f>
        <v>5.3941908713692949E-2</v>
      </c>
      <c r="CH48">
        <v>29</v>
      </c>
      <c r="CI48" s="6">
        <f>CH48/CH76</f>
        <v>8.7878787878787876E-2</v>
      </c>
      <c r="CJ48" s="6">
        <f>29/$CJ$3</f>
        <v>8.7878787878787876E-2</v>
      </c>
    </row>
    <row r="49" spans="1:89" x14ac:dyDescent="0.35">
      <c r="A49" s="1" t="s">
        <v>439</v>
      </c>
      <c r="B49">
        <v>379</v>
      </c>
      <c r="C49" s="6">
        <f>B49/B76</f>
        <v>0.34454545454545454</v>
      </c>
      <c r="D49" s="6">
        <f>379/$D$3</f>
        <v>0.34454545454545454</v>
      </c>
      <c r="F49">
        <v>257</v>
      </c>
      <c r="G49" s="6">
        <f>F49/F76</f>
        <v>0.28210757409440174</v>
      </c>
      <c r="H49" s="8">
        <f>257/$H$3</f>
        <v>0.28210757409440174</v>
      </c>
      <c r="J49">
        <v>104</v>
      </c>
      <c r="K49" s="6">
        <f>J49/J76</f>
        <v>0.23963133640552994</v>
      </c>
      <c r="L49" s="8">
        <f>104/$L$3</f>
        <v>0.23963133640552994</v>
      </c>
      <c r="N49">
        <v>26</v>
      </c>
      <c r="O49" s="6">
        <f>N49/N76</f>
        <v>0.32098765432098764</v>
      </c>
      <c r="P49" s="6">
        <f>26/$P$3</f>
        <v>0.32098765432098764</v>
      </c>
      <c r="R49">
        <v>200</v>
      </c>
      <c r="S49" s="6">
        <f>R49/R76</f>
        <v>0.35714285714285715</v>
      </c>
      <c r="T49" s="6">
        <f>200/$T$3</f>
        <v>0.35714285714285715</v>
      </c>
      <c r="V49">
        <v>179</v>
      </c>
      <c r="W49" s="6">
        <f>V49/V76</f>
        <v>0.33148148148148149</v>
      </c>
      <c r="X49" s="6">
        <f>179/$X$3</f>
        <v>0.33148148148148149</v>
      </c>
      <c r="Z49">
        <v>11</v>
      </c>
      <c r="AA49" s="6">
        <f>Z49/Z76</f>
        <v>9.7345132743362831E-2</v>
      </c>
      <c r="AB49" s="8">
        <f>11/$AB$3</f>
        <v>9.7345132743362831E-2</v>
      </c>
      <c r="AD49">
        <v>42</v>
      </c>
      <c r="AE49" s="6">
        <f>AD49/AD76</f>
        <v>0.21212121212121213</v>
      </c>
      <c r="AF49" s="8">
        <f>42/$AF$3</f>
        <v>0.21212121212121213</v>
      </c>
      <c r="AG49" s="7"/>
      <c r="AH49">
        <v>65</v>
      </c>
      <c r="AI49" s="6">
        <f>AH49/AH76</f>
        <v>0.26315789473684209</v>
      </c>
      <c r="AJ49" s="8">
        <f>65/$AJ$3</f>
        <v>0.26315789473684209</v>
      </c>
      <c r="AK49" s="7"/>
      <c r="AL49">
        <v>82</v>
      </c>
      <c r="AM49" s="6">
        <f>AL49/AL76</f>
        <v>0.35344827586206895</v>
      </c>
      <c r="AN49" s="6">
        <f>82/$AN$3</f>
        <v>0.35344827586206895</v>
      </c>
      <c r="AO49" s="7"/>
      <c r="AP49">
        <v>98</v>
      </c>
      <c r="AQ49" s="6">
        <f>AP49/AP76</f>
        <v>0.5268817204301075</v>
      </c>
      <c r="AR49" s="9">
        <f>98/$AR$3</f>
        <v>0.5268817204301075</v>
      </c>
      <c r="AS49" s="7"/>
      <c r="AT49">
        <v>81</v>
      </c>
      <c r="AU49" s="6">
        <f>AT49/AT76</f>
        <v>0.65322580645161288</v>
      </c>
      <c r="AV49" s="9">
        <f>81/$AV$3</f>
        <v>0.65322580645161288</v>
      </c>
      <c r="AW49" s="7"/>
      <c r="AX49">
        <v>161</v>
      </c>
      <c r="AY49" s="6">
        <f>AX49/AX76</f>
        <v>0.37441860465116278</v>
      </c>
      <c r="AZ49" s="6">
        <f>161/$AZ$3</f>
        <v>0.37441860465116278</v>
      </c>
      <c r="BB49">
        <v>137</v>
      </c>
      <c r="BC49" s="6">
        <f>BB49/BB76</f>
        <v>0.32009345794392524</v>
      </c>
      <c r="BD49" s="6">
        <f>137/$BD$3</f>
        <v>0.32009345794392524</v>
      </c>
      <c r="BF49">
        <v>81</v>
      </c>
      <c r="BG49" s="6">
        <f>BF49/BF76</f>
        <v>0.33471074380165289</v>
      </c>
      <c r="BH49" s="6">
        <f>81/$BH$3</f>
        <v>0.33471074380165289</v>
      </c>
      <c r="BJ49">
        <v>140</v>
      </c>
      <c r="BK49" s="6">
        <f>BJ49/BJ76</f>
        <v>0.34739454094292804</v>
      </c>
      <c r="BL49" s="6">
        <f>140/$BL$3</f>
        <v>0.34739454094292804</v>
      </c>
      <c r="BN49">
        <v>148</v>
      </c>
      <c r="BO49" s="6">
        <f>BN49/BN76</f>
        <v>0.34988179669030733</v>
      </c>
      <c r="BP49" s="6">
        <f>148/$BP$3</f>
        <v>0.34988179669030733</v>
      </c>
      <c r="BR49">
        <v>91</v>
      </c>
      <c r="BS49" s="6">
        <f>BR49/BR76</f>
        <v>0.33211678832116787</v>
      </c>
      <c r="BT49" s="6">
        <f>91/$BT$3</f>
        <v>0.33211678832116787</v>
      </c>
      <c r="BV49">
        <v>113</v>
      </c>
      <c r="BW49" s="6">
        <f>BV49/BV76</f>
        <v>0.37049180327868853</v>
      </c>
      <c r="BX49" s="6">
        <f>113/$BX$3</f>
        <v>0.37049180327868853</v>
      </c>
      <c r="BZ49">
        <v>73</v>
      </c>
      <c r="CA49" s="6">
        <f>BZ49/BZ76</f>
        <v>0.32589285714285715</v>
      </c>
      <c r="CB49" s="6">
        <f>73/$CB$3</f>
        <v>0.32589285714285715</v>
      </c>
      <c r="CD49">
        <v>85</v>
      </c>
      <c r="CE49" s="6">
        <f>CD49/CD76</f>
        <v>0.35269709543568467</v>
      </c>
      <c r="CF49" s="6">
        <f>85/$CF$3</f>
        <v>0.35269709543568467</v>
      </c>
      <c r="CH49">
        <v>108</v>
      </c>
      <c r="CI49" s="6">
        <f>CH49/CH76</f>
        <v>0.32727272727272727</v>
      </c>
      <c r="CJ49" s="6">
        <f>108/$CJ$3</f>
        <v>0.32727272727272727</v>
      </c>
    </row>
    <row r="51" spans="1:89" x14ac:dyDescent="0.35">
      <c r="A51" s="1" t="s">
        <v>440</v>
      </c>
      <c r="B51">
        <v>521</v>
      </c>
      <c r="C51" s="6">
        <f>B51/B76</f>
        <v>0.47363636363636363</v>
      </c>
      <c r="D51" s="6">
        <f>521/$D$3</f>
        <v>0.47363636363636363</v>
      </c>
      <c r="F51">
        <v>440</v>
      </c>
      <c r="G51" s="6">
        <f>F51/F76</f>
        <v>0.48298572996706918</v>
      </c>
      <c r="H51" s="6">
        <f>440/$H$3</f>
        <v>0.48298572996706918</v>
      </c>
      <c r="J51">
        <v>169</v>
      </c>
      <c r="K51" s="6">
        <f>J51/J76</f>
        <v>0.38940092165898615</v>
      </c>
      <c r="L51" s="8">
        <f>169/$L$3</f>
        <v>0.38940092165898615</v>
      </c>
      <c r="N51">
        <v>45</v>
      </c>
      <c r="O51" s="6">
        <f>N51/N76</f>
        <v>0.55555555555555558</v>
      </c>
      <c r="P51" s="6">
        <f>45/$P$3</f>
        <v>0.55555555555555558</v>
      </c>
      <c r="R51">
        <v>261</v>
      </c>
      <c r="S51" s="6">
        <f>R51/R76</f>
        <v>0.46607142857142858</v>
      </c>
      <c r="T51" s="6">
        <f>261/$T$3</f>
        <v>0.46607142857142858</v>
      </c>
      <c r="V51">
        <v>260</v>
      </c>
      <c r="W51" s="6">
        <f>V51/V76</f>
        <v>0.48148148148148145</v>
      </c>
      <c r="X51" s="6">
        <f>260/$X$3</f>
        <v>0.48148148148148145</v>
      </c>
      <c r="Z51">
        <v>38</v>
      </c>
      <c r="AA51" s="6">
        <f>Z51/Z76</f>
        <v>0.33628318584070799</v>
      </c>
      <c r="AB51" s="8">
        <f>38/$AB$3</f>
        <v>0.33628318584070799</v>
      </c>
      <c r="AD51">
        <v>77</v>
      </c>
      <c r="AE51" s="6">
        <f>AD51/AD76</f>
        <v>0.3888888888888889</v>
      </c>
      <c r="AF51" s="8">
        <f>77/$AF$3</f>
        <v>0.3888888888888889</v>
      </c>
      <c r="AH51">
        <v>116</v>
      </c>
      <c r="AI51" s="6">
        <f>AH51/AH76</f>
        <v>0.46963562753036436</v>
      </c>
      <c r="AJ51" s="6">
        <f>116/$AJ$3</f>
        <v>0.46963562753036436</v>
      </c>
      <c r="AL51">
        <v>128</v>
      </c>
      <c r="AM51" s="6">
        <f>AL51/AL76</f>
        <v>0.55172413793103448</v>
      </c>
      <c r="AN51" s="9">
        <f>128/$AN$3</f>
        <v>0.55172413793103448</v>
      </c>
      <c r="AO51" s="7"/>
      <c r="AP51">
        <v>101</v>
      </c>
      <c r="AQ51" s="6">
        <f>AP51/AP76</f>
        <v>0.543010752688172</v>
      </c>
      <c r="AR51" s="9">
        <f>101/$AR$3</f>
        <v>0.543010752688172</v>
      </c>
      <c r="AS51" s="7"/>
      <c r="AT51">
        <v>61</v>
      </c>
      <c r="AU51" s="6">
        <f>AT51/AT76</f>
        <v>0.49193548387096775</v>
      </c>
      <c r="AV51" s="6">
        <f>61/$AV$3</f>
        <v>0.49193548387096775</v>
      </c>
      <c r="AX51">
        <v>207</v>
      </c>
      <c r="AY51" s="6">
        <f>AX51/AX76</f>
        <v>0.4813953488372093</v>
      </c>
      <c r="AZ51" s="6">
        <f>207/$AZ$3</f>
        <v>0.4813953488372093</v>
      </c>
      <c r="BB51">
        <v>203</v>
      </c>
      <c r="BC51" s="6">
        <f>BB51/BB76</f>
        <v>0.47429906542056077</v>
      </c>
      <c r="BD51" s="6">
        <f>203/$BD$3</f>
        <v>0.47429906542056077</v>
      </c>
      <c r="BF51">
        <v>111</v>
      </c>
      <c r="BG51" s="6">
        <f>BF51/BF76</f>
        <v>0.45867768595041325</v>
      </c>
      <c r="BH51" s="6">
        <f>111/$BH$3</f>
        <v>0.45867768595041325</v>
      </c>
      <c r="BJ51">
        <v>187</v>
      </c>
      <c r="BK51" s="6">
        <f>BJ51/BJ76</f>
        <v>0.4640198511166253</v>
      </c>
      <c r="BL51" s="6">
        <f>187/$BL$3</f>
        <v>0.4640198511166253</v>
      </c>
      <c r="BN51">
        <v>199</v>
      </c>
      <c r="BO51" s="6">
        <f>BN51/BN76</f>
        <v>0.47044917257683216</v>
      </c>
      <c r="BP51" s="6">
        <f>199/$BP$3</f>
        <v>0.47044917257683216</v>
      </c>
      <c r="BR51">
        <v>135</v>
      </c>
      <c r="BS51" s="6">
        <f>BR51/BR76</f>
        <v>0.49270072992700731</v>
      </c>
      <c r="BT51" s="6">
        <f>135/$BT$3</f>
        <v>0.49270072992700731</v>
      </c>
      <c r="BV51">
        <v>148</v>
      </c>
      <c r="BW51" s="6">
        <f>BV51/BV76</f>
        <v>0.48524590163934428</v>
      </c>
      <c r="BX51" s="6">
        <f>148/$BX$3</f>
        <v>0.48524590163934428</v>
      </c>
      <c r="BZ51">
        <v>102</v>
      </c>
      <c r="CA51" s="6">
        <f>BZ51/BZ76</f>
        <v>0.45535714285714285</v>
      </c>
      <c r="CB51" s="6">
        <f>102/$CB$3</f>
        <v>0.45535714285714285</v>
      </c>
      <c r="CD51">
        <v>120</v>
      </c>
      <c r="CE51" s="6">
        <f>CD51/CD76</f>
        <v>0.49792531120331951</v>
      </c>
      <c r="CF51" s="6">
        <f>120/$CF$3</f>
        <v>0.49792531120331951</v>
      </c>
      <c r="CH51">
        <v>151</v>
      </c>
      <c r="CI51" s="6">
        <f>CH51/CH76</f>
        <v>0.45757575757575758</v>
      </c>
      <c r="CJ51" s="6">
        <f>151/$CJ$3</f>
        <v>0.45757575757575758</v>
      </c>
    </row>
    <row r="52" spans="1:89" x14ac:dyDescent="0.35">
      <c r="A52" s="1" t="s">
        <v>441</v>
      </c>
      <c r="B52">
        <v>189</v>
      </c>
      <c r="C52" s="6">
        <f>B52/B76</f>
        <v>0.17181818181818181</v>
      </c>
      <c r="D52" s="6">
        <f>189/$D$3</f>
        <v>0.17181818181818181</v>
      </c>
      <c r="F52">
        <v>164</v>
      </c>
      <c r="G52" s="6">
        <f>F52/F76</f>
        <v>0.18002195389681669</v>
      </c>
      <c r="H52" s="6">
        <f>164/$H$3</f>
        <v>0.18002195389681669</v>
      </c>
      <c r="J52">
        <v>76</v>
      </c>
      <c r="K52" s="6">
        <f>J52/J76</f>
        <v>0.17511520737327188</v>
      </c>
      <c r="L52" s="6">
        <f>76/$L$3</f>
        <v>0.17511520737327188</v>
      </c>
      <c r="N52">
        <v>16</v>
      </c>
      <c r="O52" s="6">
        <f>N52/N76</f>
        <v>0.19753086419753085</v>
      </c>
      <c r="P52" s="6">
        <f>16/$P$3</f>
        <v>0.19753086419753085</v>
      </c>
      <c r="R52">
        <v>80</v>
      </c>
      <c r="S52" s="6">
        <f>R52/R76</f>
        <v>0.14285714285714285</v>
      </c>
      <c r="T52" s="6">
        <f>80/$T$3</f>
        <v>0.14285714285714285</v>
      </c>
      <c r="V52">
        <v>109</v>
      </c>
      <c r="W52" s="6">
        <f>V52/V76</f>
        <v>0.20185185185185187</v>
      </c>
      <c r="X52" s="6">
        <f>109/$X$3</f>
        <v>0.20185185185185187</v>
      </c>
      <c r="Z52">
        <v>28</v>
      </c>
      <c r="AA52" s="6">
        <f>Z52/Z76</f>
        <v>0.24778761061946902</v>
      </c>
      <c r="AB52" s="9">
        <f>28/$AB$3</f>
        <v>0.24778761061946902</v>
      </c>
      <c r="AD52">
        <v>26</v>
      </c>
      <c r="AE52" s="6">
        <f>AD52/AD76</f>
        <v>0.13131313131313133</v>
      </c>
      <c r="AF52" s="6">
        <f>26/$AF$3</f>
        <v>0.13131313131313133</v>
      </c>
      <c r="AH52">
        <v>32</v>
      </c>
      <c r="AI52" s="6">
        <f>AH52/AH76</f>
        <v>0.12955465587044535</v>
      </c>
      <c r="AJ52" s="6">
        <f>32/$AJ$3</f>
        <v>0.12955465587044535</v>
      </c>
      <c r="AL52">
        <v>37</v>
      </c>
      <c r="AM52" s="6">
        <f>AL52/AL76</f>
        <v>0.15948275862068967</v>
      </c>
      <c r="AN52" s="6">
        <f>37/$AN$3</f>
        <v>0.15948275862068967</v>
      </c>
      <c r="AP52">
        <v>35</v>
      </c>
      <c r="AQ52" s="6">
        <f>AP52/AP76</f>
        <v>0.18817204301075269</v>
      </c>
      <c r="AR52" s="6">
        <f>35/$AR$3</f>
        <v>0.18817204301075269</v>
      </c>
      <c r="AT52">
        <v>31</v>
      </c>
      <c r="AU52" s="6">
        <f>AT52/AT76</f>
        <v>0.25</v>
      </c>
      <c r="AV52" s="9">
        <f>31/$AV$3</f>
        <v>0.25</v>
      </c>
      <c r="AW52" s="7"/>
      <c r="AX52">
        <v>83</v>
      </c>
      <c r="AY52" s="6">
        <f>AX52/AX76</f>
        <v>0.19302325581395349</v>
      </c>
      <c r="AZ52" s="6">
        <f>83/$AZ$3</f>
        <v>0.19302325581395349</v>
      </c>
      <c r="BB52">
        <v>76</v>
      </c>
      <c r="BC52" s="6">
        <f>BB52/BB76</f>
        <v>0.17757009345794392</v>
      </c>
      <c r="BD52" s="6">
        <f>76/$BD$3</f>
        <v>0.17757009345794392</v>
      </c>
      <c r="BF52">
        <v>30</v>
      </c>
      <c r="BG52" s="6">
        <f>BF52/BF76</f>
        <v>0.12396694214876033</v>
      </c>
      <c r="BH52" s="6">
        <f>30/$BH$3</f>
        <v>0.12396694214876033</v>
      </c>
      <c r="BJ52">
        <v>75</v>
      </c>
      <c r="BK52" s="6">
        <f>BJ52/BJ76</f>
        <v>0.18610421836228289</v>
      </c>
      <c r="BL52" s="6">
        <f>75/$BL$3</f>
        <v>0.18610421836228289</v>
      </c>
      <c r="BN52">
        <v>72</v>
      </c>
      <c r="BO52" s="6">
        <f>BN52/BN76</f>
        <v>0.1702127659574468</v>
      </c>
      <c r="BP52" s="6">
        <f>72/$BP$3</f>
        <v>0.1702127659574468</v>
      </c>
      <c r="BR52">
        <v>42</v>
      </c>
      <c r="BS52" s="6">
        <f>BR52/BR76</f>
        <v>0.15328467153284672</v>
      </c>
      <c r="BT52" s="6">
        <f>42/$BT$3</f>
        <v>0.15328467153284672</v>
      </c>
      <c r="BV52">
        <v>78</v>
      </c>
      <c r="BW52" s="6">
        <f>BV52/BV76</f>
        <v>0.25573770491803277</v>
      </c>
      <c r="BX52" s="9">
        <f>78/$BX$3</f>
        <v>0.25573770491803277</v>
      </c>
      <c r="BY52" s="7"/>
      <c r="BZ52">
        <v>45</v>
      </c>
      <c r="CA52" s="6">
        <f>BZ52/BZ76</f>
        <v>0.20089285714285715</v>
      </c>
      <c r="CB52" s="6">
        <f>45/$CB$3</f>
        <v>0.20089285714285715</v>
      </c>
      <c r="CC52" s="7"/>
      <c r="CD52">
        <v>33</v>
      </c>
      <c r="CE52" s="6">
        <f>CD52/CD76</f>
        <v>0.13692946058091288</v>
      </c>
      <c r="CF52" s="6">
        <f>33/$CF$3</f>
        <v>0.13692946058091288</v>
      </c>
      <c r="CH52">
        <v>33</v>
      </c>
      <c r="CI52" s="6">
        <f>CH52/CH76</f>
        <v>0.1</v>
      </c>
      <c r="CJ52" s="8">
        <f>33/$CJ$3</f>
        <v>0.1</v>
      </c>
    </row>
    <row r="53" spans="1:89" x14ac:dyDescent="0.35">
      <c r="A53" s="1" t="s">
        <v>442</v>
      </c>
      <c r="B53">
        <v>296</v>
      </c>
      <c r="C53" s="6">
        <f>B53/B76</f>
        <v>0.2690909090909091</v>
      </c>
      <c r="D53" s="6">
        <f>296/$D$3</f>
        <v>0.2690909090909091</v>
      </c>
      <c r="F53">
        <v>265</v>
      </c>
      <c r="G53" s="6">
        <f>F53/F76</f>
        <v>0.29088913282107576</v>
      </c>
      <c r="H53" s="6">
        <f>265/$H$3</f>
        <v>0.29088913282107576</v>
      </c>
      <c r="J53">
        <v>92</v>
      </c>
      <c r="K53" s="6">
        <f>J53/J76</f>
        <v>0.2119815668202765</v>
      </c>
      <c r="L53" s="8">
        <f>92/$L$3</f>
        <v>0.2119815668202765</v>
      </c>
      <c r="N53">
        <v>27</v>
      </c>
      <c r="O53" s="6">
        <f>N53/N76</f>
        <v>0.33333333333333331</v>
      </c>
      <c r="P53" s="6">
        <f>27/$P$3</f>
        <v>0.33333333333333331</v>
      </c>
      <c r="R53">
        <v>133</v>
      </c>
      <c r="S53" s="6">
        <f>R53/R76</f>
        <v>0.23749999999999999</v>
      </c>
      <c r="T53" s="6">
        <f>133/$T$3</f>
        <v>0.23749999999999999</v>
      </c>
      <c r="V53">
        <v>163</v>
      </c>
      <c r="W53" s="6">
        <f>V53/V76</f>
        <v>0.30185185185185187</v>
      </c>
      <c r="X53" s="6">
        <f>163/$X$3</f>
        <v>0.30185185185185187</v>
      </c>
      <c r="Z53">
        <v>37</v>
      </c>
      <c r="AA53" s="6">
        <f>Z53/Z76</f>
        <v>0.32743362831858408</v>
      </c>
      <c r="AB53" s="6">
        <f>37/$AB$3</f>
        <v>0.32743362831858408</v>
      </c>
      <c r="AD53">
        <v>51</v>
      </c>
      <c r="AE53" s="6">
        <f>AD53/AD76</f>
        <v>0.25757575757575757</v>
      </c>
      <c r="AF53" s="6">
        <f>51/$AF$3</f>
        <v>0.25757575757575757</v>
      </c>
      <c r="AH53">
        <v>62</v>
      </c>
      <c r="AI53" s="6">
        <f>AH53/AH76</f>
        <v>0.25101214574898784</v>
      </c>
      <c r="AJ53" s="6">
        <f>62/$AJ$3</f>
        <v>0.25101214574898784</v>
      </c>
      <c r="AL53">
        <v>58</v>
      </c>
      <c r="AM53" s="6">
        <f>AL53/AL76</f>
        <v>0.25</v>
      </c>
      <c r="AN53" s="6">
        <f>58/$AN$3</f>
        <v>0.25</v>
      </c>
      <c r="AP53">
        <v>50</v>
      </c>
      <c r="AQ53" s="6">
        <f>AP53/AP76</f>
        <v>0.26881720430107525</v>
      </c>
      <c r="AR53" s="6">
        <f>50/$AR$3</f>
        <v>0.26881720430107525</v>
      </c>
      <c r="AT53">
        <v>38</v>
      </c>
      <c r="AU53" s="6">
        <f>AT53/AT76</f>
        <v>0.30645161290322581</v>
      </c>
      <c r="AV53" s="6">
        <f>38/$AV$3</f>
        <v>0.30645161290322581</v>
      </c>
      <c r="AX53">
        <v>119</v>
      </c>
      <c r="AY53" s="6">
        <f>AX53/AX76</f>
        <v>0.27674418604651163</v>
      </c>
      <c r="AZ53" s="6">
        <f>119/$AZ$3</f>
        <v>0.27674418604651163</v>
      </c>
      <c r="BB53">
        <v>102</v>
      </c>
      <c r="BC53" s="6">
        <f>BB53/BB76</f>
        <v>0.23831775700934579</v>
      </c>
      <c r="BD53" s="6">
        <f>102/$BD$3</f>
        <v>0.23831775700934579</v>
      </c>
      <c r="BF53">
        <v>75</v>
      </c>
      <c r="BG53" s="6">
        <f>BF53/BF76</f>
        <v>0.30991735537190085</v>
      </c>
      <c r="BH53" s="6">
        <f>75/$BH$3</f>
        <v>0.30991735537190085</v>
      </c>
      <c r="BJ53">
        <v>99</v>
      </c>
      <c r="BK53" s="6">
        <f>BJ53/BJ76</f>
        <v>0.24565756823821339</v>
      </c>
      <c r="BL53" s="6">
        <f>99/$BL$3</f>
        <v>0.24565756823821339</v>
      </c>
      <c r="BN53">
        <v>118</v>
      </c>
      <c r="BO53" s="6">
        <f>BN53/BN76</f>
        <v>0.27895981087470451</v>
      </c>
      <c r="BP53" s="6">
        <f>118/$BP$3</f>
        <v>0.27895981087470451</v>
      </c>
      <c r="BR53">
        <v>79</v>
      </c>
      <c r="BS53" s="6">
        <f>BR53/BR76</f>
        <v>0.28832116788321166</v>
      </c>
      <c r="BT53" s="6">
        <f>79/$BT$3</f>
        <v>0.28832116788321166</v>
      </c>
      <c r="BV53">
        <v>52</v>
      </c>
      <c r="BW53" s="6">
        <f>BV53/BV76</f>
        <v>0.17049180327868851</v>
      </c>
      <c r="BX53" s="8">
        <f>52/$BX$3</f>
        <v>0.17049180327868851</v>
      </c>
      <c r="BZ53">
        <v>60</v>
      </c>
      <c r="CA53" s="6">
        <f>BZ53/BZ76</f>
        <v>0.26785714285714285</v>
      </c>
      <c r="CB53" s="6">
        <f>60/$CB$3</f>
        <v>0.26785714285714285</v>
      </c>
      <c r="CD53">
        <v>77</v>
      </c>
      <c r="CE53" s="6">
        <f>CD53/CD76</f>
        <v>0.31950207468879666</v>
      </c>
      <c r="CF53" s="9">
        <f>77/$CF$3</f>
        <v>0.31950207468879666</v>
      </c>
      <c r="CG53" s="7"/>
      <c r="CH53">
        <v>107</v>
      </c>
      <c r="CI53" s="6">
        <f>CH53/CH76</f>
        <v>0.32424242424242422</v>
      </c>
      <c r="CJ53" s="9">
        <f>107/$CJ$3</f>
        <v>0.32424242424242422</v>
      </c>
      <c r="CK53" s="7"/>
    </row>
    <row r="54" spans="1:89" x14ac:dyDescent="0.35">
      <c r="A54" s="1" t="s">
        <v>443</v>
      </c>
      <c r="B54">
        <v>411</v>
      </c>
      <c r="C54" s="6">
        <f>B54/B76</f>
        <v>0.37363636363636366</v>
      </c>
      <c r="D54" s="6">
        <f>411/$D$3</f>
        <v>0.37363636363636366</v>
      </c>
      <c r="F54">
        <v>376</v>
      </c>
      <c r="G54" s="6">
        <f>F54/F76</f>
        <v>0.41273326015367728</v>
      </c>
      <c r="H54" s="6">
        <f>376/$H$3</f>
        <v>0.41273326015367728</v>
      </c>
      <c r="J54">
        <v>411</v>
      </c>
      <c r="K54" s="6">
        <f>J54/J76</f>
        <v>0.94700460829493083</v>
      </c>
      <c r="L54" s="6">
        <f>411/$L$3</f>
        <v>0.94700460829493083</v>
      </c>
      <c r="N54">
        <v>0</v>
      </c>
      <c r="O54" s="6">
        <f>N54/N76</f>
        <v>0</v>
      </c>
      <c r="P54" s="8">
        <f>0/$P$3</f>
        <v>0</v>
      </c>
      <c r="R54">
        <v>237</v>
      </c>
      <c r="S54" s="6">
        <f>R54/R76</f>
        <v>0.42321428571428571</v>
      </c>
      <c r="T54" s="6">
        <f>237/$T$3</f>
        <v>0.42321428571428571</v>
      </c>
      <c r="V54">
        <v>174</v>
      </c>
      <c r="W54" s="6">
        <f>V54/V76</f>
        <v>0.32222222222222224</v>
      </c>
      <c r="X54" s="8">
        <f>174/$X$3</f>
        <v>0.32222222222222224</v>
      </c>
      <c r="Z54">
        <v>50</v>
      </c>
      <c r="AA54" s="6">
        <f>Z54/Z76</f>
        <v>0.44247787610619471</v>
      </c>
      <c r="AB54" s="6">
        <f>50/$AB$3</f>
        <v>0.44247787610619471</v>
      </c>
      <c r="AD54">
        <v>75</v>
      </c>
      <c r="AE54" s="6">
        <f>AD54/AD76</f>
        <v>0.37878787878787878</v>
      </c>
      <c r="AF54" s="6">
        <f>75/$AF$3</f>
        <v>0.37878787878787878</v>
      </c>
      <c r="AH54">
        <v>88</v>
      </c>
      <c r="AI54" s="6">
        <f>AH54/AH76</f>
        <v>0.35627530364372467</v>
      </c>
      <c r="AJ54" s="6">
        <f>88/$AJ$3</f>
        <v>0.35627530364372467</v>
      </c>
      <c r="AL54">
        <v>93</v>
      </c>
      <c r="AM54" s="6">
        <f>AL54/AL76</f>
        <v>0.40086206896551724</v>
      </c>
      <c r="AN54" s="6">
        <f>93/$AN$3</f>
        <v>0.40086206896551724</v>
      </c>
      <c r="AP54">
        <v>67</v>
      </c>
      <c r="AQ54" s="6">
        <f>AP54/AP76</f>
        <v>0.36021505376344087</v>
      </c>
      <c r="AR54" s="6">
        <f>67/$AR$3</f>
        <v>0.36021505376344087</v>
      </c>
      <c r="AT54">
        <v>38</v>
      </c>
      <c r="AU54" s="6">
        <f>AT54/AT76</f>
        <v>0.30645161290322581</v>
      </c>
      <c r="AV54" s="6">
        <f>38/$AV$3</f>
        <v>0.30645161290322581</v>
      </c>
      <c r="AX54">
        <v>172</v>
      </c>
      <c r="AY54" s="6">
        <f>AX54/AX76</f>
        <v>0.4</v>
      </c>
      <c r="AZ54" s="6">
        <f>172/$AZ$3</f>
        <v>0.4</v>
      </c>
      <c r="BB54">
        <v>162</v>
      </c>
      <c r="BC54" s="6">
        <f>BB54/BB76</f>
        <v>0.37850467289719625</v>
      </c>
      <c r="BD54" s="6">
        <f>162/$BD$3</f>
        <v>0.37850467289719625</v>
      </c>
      <c r="BF54">
        <v>77</v>
      </c>
      <c r="BG54" s="6">
        <f>BF54/BF76</f>
        <v>0.31818181818181818</v>
      </c>
      <c r="BH54" s="8">
        <f>77/$BH$3</f>
        <v>0.31818181818181818</v>
      </c>
      <c r="BJ54">
        <v>140</v>
      </c>
      <c r="BK54" s="6">
        <f>BJ54/BJ76</f>
        <v>0.34739454094292804</v>
      </c>
      <c r="BL54" s="6">
        <f>140/$BL$3</f>
        <v>0.34739454094292804</v>
      </c>
      <c r="BN54">
        <v>162</v>
      </c>
      <c r="BO54" s="6">
        <f>BN54/BN76</f>
        <v>0.38297872340425532</v>
      </c>
      <c r="BP54" s="6">
        <f>162/$BP$3</f>
        <v>0.38297872340425532</v>
      </c>
      <c r="BR54">
        <v>109</v>
      </c>
      <c r="BS54" s="6">
        <f>BR54/BR76</f>
        <v>0.3978102189781022</v>
      </c>
      <c r="BT54" s="6">
        <f>109/$BT$3</f>
        <v>0.3978102189781022</v>
      </c>
      <c r="BV54">
        <v>120</v>
      </c>
      <c r="BW54" s="6">
        <f>BV54/BV76</f>
        <v>0.39344262295081966</v>
      </c>
      <c r="BX54" s="6">
        <f>120/$BX$3</f>
        <v>0.39344262295081966</v>
      </c>
      <c r="BZ54">
        <v>96</v>
      </c>
      <c r="CA54" s="6">
        <f>BZ54/BZ76</f>
        <v>0.42857142857142855</v>
      </c>
      <c r="CB54" s="6">
        <f>96/$CB$3</f>
        <v>0.42857142857142855</v>
      </c>
      <c r="CD54">
        <v>85</v>
      </c>
      <c r="CE54" s="6">
        <f>CD54/CD76</f>
        <v>0.35269709543568467</v>
      </c>
      <c r="CF54" s="6">
        <f>85/$CF$3</f>
        <v>0.35269709543568467</v>
      </c>
      <c r="CH54">
        <v>110</v>
      </c>
      <c r="CI54" s="6">
        <f>CH54/CH76</f>
        <v>0.33333333333333331</v>
      </c>
      <c r="CJ54" s="6">
        <f>110/$CJ$3</f>
        <v>0.33333333333333331</v>
      </c>
    </row>
    <row r="55" spans="1:89" x14ac:dyDescent="0.35">
      <c r="A55" s="1" t="s">
        <v>444</v>
      </c>
      <c r="B55">
        <v>604</v>
      </c>
      <c r="C55" s="6">
        <f>B55/B76</f>
        <v>0.54909090909090907</v>
      </c>
      <c r="D55" s="6">
        <f>604/$D$3</f>
        <v>0.54909090909090907</v>
      </c>
      <c r="F55">
        <v>556</v>
      </c>
      <c r="G55" s="6">
        <f>F55/F76</f>
        <v>0.61031833150384196</v>
      </c>
      <c r="H55" s="9">
        <f>556/$H$3</f>
        <v>0.61031833150384196</v>
      </c>
      <c r="J55">
        <v>282</v>
      </c>
      <c r="K55" s="6">
        <f>J55/J76</f>
        <v>0.64976958525345618</v>
      </c>
      <c r="L55" s="9">
        <f>282/$L$3</f>
        <v>0.64976958525345618</v>
      </c>
      <c r="N55">
        <v>39</v>
      </c>
      <c r="O55" s="6">
        <f>N55/N76</f>
        <v>0.48148148148148145</v>
      </c>
      <c r="P55" s="6">
        <f>39/$P$3</f>
        <v>0.48148148148148145</v>
      </c>
      <c r="R55">
        <v>306</v>
      </c>
      <c r="S55" s="6">
        <f>R55/R76</f>
        <v>0.54642857142857137</v>
      </c>
      <c r="T55" s="6">
        <f>306/$T$3</f>
        <v>0.54642857142857137</v>
      </c>
      <c r="V55">
        <v>298</v>
      </c>
      <c r="W55" s="6">
        <f>V55/V76</f>
        <v>0.55185185185185182</v>
      </c>
      <c r="X55" s="6">
        <f>298/$X$3</f>
        <v>0.55185185185185182</v>
      </c>
      <c r="Z55">
        <v>87</v>
      </c>
      <c r="AA55" s="6">
        <f>Z55/Z76</f>
        <v>0.76991150442477874</v>
      </c>
      <c r="AB55" s="9">
        <f>87/$AB$3</f>
        <v>0.76991150442477874</v>
      </c>
      <c r="AC55" s="7"/>
      <c r="AD55">
        <v>134</v>
      </c>
      <c r="AE55" s="6">
        <f>AD55/AD76</f>
        <v>0.6767676767676768</v>
      </c>
      <c r="AF55" s="9">
        <f>134/$AF$3</f>
        <v>0.6767676767676768</v>
      </c>
      <c r="AG55" s="7"/>
      <c r="AH55">
        <v>159</v>
      </c>
      <c r="AI55" s="6">
        <f>AH55/AH76</f>
        <v>0.64372469635627527</v>
      </c>
      <c r="AJ55" s="9">
        <f>159/$AJ$3</f>
        <v>0.64372469635627527</v>
      </c>
      <c r="AK55" s="7"/>
      <c r="AL55">
        <v>127</v>
      </c>
      <c r="AM55" s="6">
        <f>AL55/AL76</f>
        <v>0.54741379310344829</v>
      </c>
      <c r="AN55" s="6">
        <f>127/$AN$3</f>
        <v>0.54741379310344829</v>
      </c>
      <c r="AO55" s="7"/>
      <c r="AP55">
        <v>68</v>
      </c>
      <c r="AQ55" s="6">
        <f>AP55/AP76</f>
        <v>0.36559139784946237</v>
      </c>
      <c r="AR55" s="8">
        <f>68/$AR$3</f>
        <v>0.36559139784946237</v>
      </c>
      <c r="AT55">
        <v>29</v>
      </c>
      <c r="AU55" s="6">
        <f>AT55/AT76</f>
        <v>0.23387096774193547</v>
      </c>
      <c r="AV55" s="8">
        <f>29/$AV$3</f>
        <v>0.23387096774193547</v>
      </c>
      <c r="AX55">
        <v>229</v>
      </c>
      <c r="AY55" s="6">
        <f>AX55/AX76</f>
        <v>0.53255813953488373</v>
      </c>
      <c r="AZ55" s="6">
        <f>229/$AZ$3</f>
        <v>0.53255813953488373</v>
      </c>
      <c r="BB55">
        <v>241</v>
      </c>
      <c r="BC55" s="6">
        <f>BB55/BB76</f>
        <v>0.56308411214953269</v>
      </c>
      <c r="BD55" s="6">
        <f>241/$BD$3</f>
        <v>0.56308411214953269</v>
      </c>
      <c r="BF55">
        <v>134</v>
      </c>
      <c r="BG55" s="6">
        <f>BF55/BF76</f>
        <v>0.55371900826446285</v>
      </c>
      <c r="BH55" s="6">
        <f>134/$BH$3</f>
        <v>0.55371900826446285</v>
      </c>
      <c r="BJ55">
        <v>212</v>
      </c>
      <c r="BK55" s="6">
        <f>BJ55/BJ76</f>
        <v>0.52605459057071957</v>
      </c>
      <c r="BL55" s="6">
        <f>212/$BL$3</f>
        <v>0.52605459057071957</v>
      </c>
      <c r="BN55">
        <v>232</v>
      </c>
      <c r="BO55" s="6">
        <f>BN55/BN76</f>
        <v>0.54846335697399529</v>
      </c>
      <c r="BP55" s="6">
        <f>232/$BP$3</f>
        <v>0.54846335697399529</v>
      </c>
      <c r="BR55">
        <v>160</v>
      </c>
      <c r="BS55" s="6">
        <f>BR55/BR76</f>
        <v>0.58394160583941601</v>
      </c>
      <c r="BT55" s="6">
        <f>160/$BT$3</f>
        <v>0.58394160583941601</v>
      </c>
      <c r="BV55">
        <v>157</v>
      </c>
      <c r="BW55" s="6">
        <f>BV55/BV76</f>
        <v>0.51475409836065578</v>
      </c>
      <c r="BX55" s="6">
        <f>157/$BX$3</f>
        <v>0.51475409836065578</v>
      </c>
      <c r="BZ55">
        <v>132</v>
      </c>
      <c r="CA55" s="6">
        <f>BZ55/BZ76</f>
        <v>0.5892857142857143</v>
      </c>
      <c r="CB55" s="6">
        <f>132/$CB$3</f>
        <v>0.5892857142857143</v>
      </c>
      <c r="CD55">
        <v>135</v>
      </c>
      <c r="CE55" s="6">
        <f>CD55/CD76</f>
        <v>0.56016597510373445</v>
      </c>
      <c r="CF55" s="6">
        <f>135/$CF$3</f>
        <v>0.56016597510373445</v>
      </c>
      <c r="CH55">
        <v>180</v>
      </c>
      <c r="CI55" s="6">
        <f>CH55/CH76</f>
        <v>0.54545454545454541</v>
      </c>
      <c r="CJ55" s="6">
        <f>180/$CJ$3</f>
        <v>0.54545454545454541</v>
      </c>
    </row>
    <row r="57" spans="1:89" x14ac:dyDescent="0.35">
      <c r="A57" s="1" t="s">
        <v>445</v>
      </c>
      <c r="B57">
        <v>44</v>
      </c>
      <c r="C57" s="6">
        <f>B57/B76</f>
        <v>0.04</v>
      </c>
      <c r="D57" s="6">
        <f>44/$D$3</f>
        <v>0.04</v>
      </c>
      <c r="F57">
        <v>37</v>
      </c>
      <c r="G57" s="6">
        <f>F57/F76</f>
        <v>4.0614709110867182E-2</v>
      </c>
      <c r="H57" s="6">
        <f>37/$H$3</f>
        <v>4.0614709110867182E-2</v>
      </c>
      <c r="J57">
        <v>26</v>
      </c>
      <c r="K57" s="6">
        <f>J57/J76</f>
        <v>5.9907834101382486E-2</v>
      </c>
      <c r="L57" s="6">
        <f>26/$L$3</f>
        <v>5.9907834101382486E-2</v>
      </c>
      <c r="N57">
        <v>7</v>
      </c>
      <c r="O57" s="6">
        <f>N57/N76</f>
        <v>8.6419753086419748E-2</v>
      </c>
      <c r="P57" s="6">
        <f>7/$P$3</f>
        <v>8.6419753086419748E-2</v>
      </c>
      <c r="R57">
        <v>26</v>
      </c>
      <c r="S57" s="6">
        <f>R57/R76</f>
        <v>4.642857142857143E-2</v>
      </c>
      <c r="T57" s="6">
        <f>26/$T$3</f>
        <v>4.642857142857143E-2</v>
      </c>
      <c r="V57">
        <v>18</v>
      </c>
      <c r="W57" s="6">
        <f>V57/V76</f>
        <v>3.3333333333333333E-2</v>
      </c>
      <c r="X57" s="6">
        <f>18/$X$3</f>
        <v>3.3333333333333333E-2</v>
      </c>
      <c r="Z57">
        <v>11</v>
      </c>
      <c r="AA57" s="6">
        <f>Z57/Z76</f>
        <v>9.7345132743362831E-2</v>
      </c>
      <c r="AB57" s="6">
        <f>11/$AB$3</f>
        <v>9.7345132743362831E-2</v>
      </c>
      <c r="AC57" s="7"/>
      <c r="AD57">
        <v>9</v>
      </c>
      <c r="AE57" s="6">
        <f>AD57/AD76</f>
        <v>4.5454545454545456E-2</v>
      </c>
      <c r="AF57" s="6">
        <f>9/$AF$3</f>
        <v>4.5454545454545456E-2</v>
      </c>
      <c r="AH57">
        <v>10</v>
      </c>
      <c r="AI57" s="6">
        <f>AH57/AH76</f>
        <v>4.048582995951417E-2</v>
      </c>
      <c r="AJ57" s="6">
        <f>10/$AJ$3</f>
        <v>4.048582995951417E-2</v>
      </c>
      <c r="AL57">
        <v>5</v>
      </c>
      <c r="AM57" s="6">
        <f>AL57/AL76</f>
        <v>2.1551724137931036E-2</v>
      </c>
      <c r="AN57" s="6">
        <f>5/$AN$3</f>
        <v>2.1551724137931036E-2</v>
      </c>
      <c r="AP57">
        <v>5</v>
      </c>
      <c r="AQ57" s="6">
        <f>AP57/AP76</f>
        <v>2.6881720430107527E-2</v>
      </c>
      <c r="AR57" s="6">
        <f>5/$AR$3</f>
        <v>2.6881720430107527E-2</v>
      </c>
      <c r="AT57">
        <v>4</v>
      </c>
      <c r="AU57" s="6">
        <f>AT57/AT76</f>
        <v>3.2258064516129031E-2</v>
      </c>
      <c r="AV57" s="6">
        <f>4/$AV$3</f>
        <v>3.2258064516129031E-2</v>
      </c>
      <c r="AX57">
        <v>23</v>
      </c>
      <c r="AY57" s="6">
        <f>AX57/AX76</f>
        <v>5.3488372093023255E-2</v>
      </c>
      <c r="AZ57" s="6">
        <f>23/$AZ$3</f>
        <v>5.3488372093023255E-2</v>
      </c>
      <c r="BB57">
        <v>14</v>
      </c>
      <c r="BC57" s="6">
        <f>BB57/BB76</f>
        <v>3.2710280373831772E-2</v>
      </c>
      <c r="BD57" s="6">
        <f>14/$BD$3</f>
        <v>3.2710280373831772E-2</v>
      </c>
      <c r="BF57">
        <v>7</v>
      </c>
      <c r="BG57" s="6">
        <f>BF57/BF76</f>
        <v>2.8925619834710745E-2</v>
      </c>
      <c r="BH57" s="6">
        <f>7/$BH$3</f>
        <v>2.8925619834710745E-2</v>
      </c>
      <c r="BJ57">
        <v>20</v>
      </c>
      <c r="BK57" s="6">
        <f>BJ57/BJ76</f>
        <v>4.9627791563275438E-2</v>
      </c>
      <c r="BL57" s="6">
        <f>20/$BL$3</f>
        <v>4.9627791563275438E-2</v>
      </c>
      <c r="BN57">
        <v>14</v>
      </c>
      <c r="BO57" s="6">
        <f>BN57/BN76</f>
        <v>3.309692671394799E-2</v>
      </c>
      <c r="BP57" s="6">
        <f>14/$BP$3</f>
        <v>3.309692671394799E-2</v>
      </c>
      <c r="BR57">
        <v>10</v>
      </c>
      <c r="BS57" s="6">
        <f>BR57/BR76</f>
        <v>3.6496350364963501E-2</v>
      </c>
      <c r="BT57" s="6">
        <f>10/$BT$3</f>
        <v>3.6496350364963501E-2</v>
      </c>
      <c r="BV57">
        <v>16</v>
      </c>
      <c r="BW57" s="6">
        <f>BV57/BV76</f>
        <v>5.2459016393442623E-2</v>
      </c>
      <c r="BX57" s="6">
        <f>16/$BX$3</f>
        <v>5.2459016393442623E-2</v>
      </c>
      <c r="BZ57">
        <v>8</v>
      </c>
      <c r="CA57" s="6">
        <f>BZ57/BZ76</f>
        <v>3.5714285714285712E-2</v>
      </c>
      <c r="CB57" s="6">
        <f>8/$CB$3</f>
        <v>3.5714285714285712E-2</v>
      </c>
      <c r="CD57">
        <v>9</v>
      </c>
      <c r="CE57" s="6">
        <f>CD57/CD76</f>
        <v>3.7344398340248962E-2</v>
      </c>
      <c r="CF57" s="6">
        <f>9/$CF$3</f>
        <v>3.7344398340248962E-2</v>
      </c>
      <c r="CH57">
        <v>11</v>
      </c>
      <c r="CI57" s="6">
        <f>CH57/CH76</f>
        <v>3.3333333333333333E-2</v>
      </c>
      <c r="CJ57" s="6">
        <f>11/$CJ$3</f>
        <v>3.3333333333333333E-2</v>
      </c>
    </row>
    <row r="58" spans="1:89" x14ac:dyDescent="0.35">
      <c r="A58" s="1" t="s">
        <v>446</v>
      </c>
      <c r="B58">
        <v>31</v>
      </c>
      <c r="C58" s="6">
        <f>B58/B76</f>
        <v>2.8181818181818183E-2</v>
      </c>
      <c r="D58" s="6">
        <f>31/$D$3</f>
        <v>2.8181818181818183E-2</v>
      </c>
      <c r="F58">
        <v>30</v>
      </c>
      <c r="G58" s="6">
        <f>F58/F76</f>
        <v>3.2930845225027441E-2</v>
      </c>
      <c r="H58" s="6">
        <f>30/$H$3</f>
        <v>3.2930845225027441E-2</v>
      </c>
      <c r="J58">
        <v>18</v>
      </c>
      <c r="K58" s="6">
        <f>J58/J76</f>
        <v>4.1474654377880185E-2</v>
      </c>
      <c r="L58" s="6">
        <f>18/$L$3</f>
        <v>4.1474654377880185E-2</v>
      </c>
      <c r="N58">
        <v>1</v>
      </c>
      <c r="O58" s="6">
        <f>N58/N76</f>
        <v>1.2345679012345678E-2</v>
      </c>
      <c r="P58" s="6">
        <f>1/$P$3</f>
        <v>1.2345679012345678E-2</v>
      </c>
      <c r="R58">
        <v>14</v>
      </c>
      <c r="S58" s="6">
        <f>R58/R76</f>
        <v>2.5000000000000001E-2</v>
      </c>
      <c r="T58" s="6">
        <f>14/$T$3</f>
        <v>2.5000000000000001E-2</v>
      </c>
      <c r="V58">
        <v>17</v>
      </c>
      <c r="W58" s="6">
        <f>V58/V76</f>
        <v>3.1481481481481478E-2</v>
      </c>
      <c r="X58" s="6">
        <f>17/$X$3</f>
        <v>3.1481481481481478E-2</v>
      </c>
      <c r="Z58">
        <v>7</v>
      </c>
      <c r="AA58" s="6">
        <f>Z58/Z76</f>
        <v>6.1946902654867256E-2</v>
      </c>
      <c r="AB58" s="6">
        <f>7/$AB$3</f>
        <v>6.1946902654867256E-2</v>
      </c>
      <c r="AD58">
        <v>7</v>
      </c>
      <c r="AE58" s="6">
        <f>AD58/AD76</f>
        <v>3.5353535353535352E-2</v>
      </c>
      <c r="AF58" s="6">
        <f>7/$AF$3</f>
        <v>3.5353535353535352E-2</v>
      </c>
      <c r="AH58">
        <v>6</v>
      </c>
      <c r="AI58" s="6">
        <f>AH58/AH76</f>
        <v>2.4291497975708502E-2</v>
      </c>
      <c r="AJ58" s="6">
        <f>6/$AJ$3</f>
        <v>2.4291497975708502E-2</v>
      </c>
      <c r="AL58">
        <v>2</v>
      </c>
      <c r="AM58" s="6">
        <f>AL58/AL76</f>
        <v>8.6206896551724137E-3</v>
      </c>
      <c r="AN58" s="6">
        <f>2/$AN$3</f>
        <v>8.6206896551724137E-3</v>
      </c>
      <c r="AP58">
        <v>7</v>
      </c>
      <c r="AQ58" s="6">
        <f>AP58/AP76</f>
        <v>3.7634408602150539E-2</v>
      </c>
      <c r="AR58" s="6">
        <f>7/$AR$3</f>
        <v>3.7634408602150539E-2</v>
      </c>
      <c r="AT58">
        <v>2</v>
      </c>
      <c r="AU58" s="6">
        <f>AT58/AT76</f>
        <v>1.6129032258064516E-2</v>
      </c>
      <c r="AV58" s="6">
        <f>2/$AV$3</f>
        <v>1.6129032258064516E-2</v>
      </c>
      <c r="AX58">
        <v>16</v>
      </c>
      <c r="AY58" s="6">
        <f>AX58/AX76</f>
        <v>3.7209302325581395E-2</v>
      </c>
      <c r="AZ58" s="6">
        <f>16/$AZ$3</f>
        <v>3.7209302325581395E-2</v>
      </c>
      <c r="BB58">
        <v>11</v>
      </c>
      <c r="BC58" s="6">
        <f>BB58/BB76</f>
        <v>2.5700934579439252E-2</v>
      </c>
      <c r="BD58" s="6">
        <f>11/$BD$3</f>
        <v>2.5700934579439252E-2</v>
      </c>
      <c r="BF58">
        <v>4</v>
      </c>
      <c r="BG58" s="6">
        <f>BF58/BF76</f>
        <v>1.6528925619834711E-2</v>
      </c>
      <c r="BH58" s="6">
        <f>4/$BH$3</f>
        <v>1.6528925619834711E-2</v>
      </c>
      <c r="BJ58">
        <v>11</v>
      </c>
      <c r="BK58" s="6">
        <f>BJ58/BJ76</f>
        <v>2.729528535980149E-2</v>
      </c>
      <c r="BL58" s="6">
        <f>11/$BL$3</f>
        <v>2.729528535980149E-2</v>
      </c>
      <c r="BN58">
        <v>12</v>
      </c>
      <c r="BO58" s="6">
        <f>BN58/BN76</f>
        <v>2.8368794326241134E-2</v>
      </c>
      <c r="BP58" s="6">
        <f>12/$BP$3</f>
        <v>2.8368794326241134E-2</v>
      </c>
      <c r="BR58">
        <v>8</v>
      </c>
      <c r="BS58" s="6">
        <f>BR58/BR76</f>
        <v>2.9197080291970802E-2</v>
      </c>
      <c r="BT58" s="6">
        <f>8/$BT$3</f>
        <v>2.9197080291970802E-2</v>
      </c>
      <c r="BV58">
        <v>14</v>
      </c>
      <c r="BW58" s="6">
        <f>BV58/BV76</f>
        <v>4.5901639344262293E-2</v>
      </c>
      <c r="BX58" s="6">
        <f>14/$BX$3</f>
        <v>4.5901639344262293E-2</v>
      </c>
      <c r="BZ58">
        <v>7</v>
      </c>
      <c r="CA58" s="6">
        <f>BZ58/BZ76</f>
        <v>3.125E-2</v>
      </c>
      <c r="CB58" s="6">
        <f>7/$CB$3</f>
        <v>3.125E-2</v>
      </c>
      <c r="CD58">
        <v>5</v>
      </c>
      <c r="CE58" s="6">
        <f>CD58/CD76</f>
        <v>2.0746887966804978E-2</v>
      </c>
      <c r="CF58" s="6">
        <f>5/$CF$3</f>
        <v>2.0746887966804978E-2</v>
      </c>
      <c r="CH58">
        <v>5</v>
      </c>
      <c r="CI58" s="6">
        <f>CH58/CH76</f>
        <v>1.5151515151515152E-2</v>
      </c>
      <c r="CJ58" s="6">
        <f>5/$CJ$3</f>
        <v>1.5151515151515152E-2</v>
      </c>
    </row>
    <row r="59" spans="1:89" x14ac:dyDescent="0.35">
      <c r="A59" s="1" t="s">
        <v>447</v>
      </c>
      <c r="B59">
        <v>29</v>
      </c>
      <c r="C59" s="6">
        <f>B59/B76</f>
        <v>2.6363636363636363E-2</v>
      </c>
      <c r="D59" s="6">
        <f>29/$D$3</f>
        <v>2.6363636363636363E-2</v>
      </c>
      <c r="F59">
        <v>24</v>
      </c>
      <c r="G59" s="6">
        <f>F59/F76</f>
        <v>2.6344676180021953E-2</v>
      </c>
      <c r="H59" s="6">
        <f>24/$H$3</f>
        <v>2.6344676180021953E-2</v>
      </c>
      <c r="J59">
        <v>15</v>
      </c>
      <c r="K59" s="6">
        <f>J59/J76</f>
        <v>3.4562211981566823E-2</v>
      </c>
      <c r="L59" s="6">
        <f>15/$L$3</f>
        <v>3.4562211981566823E-2</v>
      </c>
      <c r="N59">
        <v>2</v>
      </c>
      <c r="O59" s="6">
        <f>N59/N76</f>
        <v>2.4691358024691357E-2</v>
      </c>
      <c r="P59" s="6">
        <f>2/$P$3</f>
        <v>2.4691358024691357E-2</v>
      </c>
      <c r="R59">
        <v>13</v>
      </c>
      <c r="S59" s="6">
        <f>R59/R76</f>
        <v>2.3214285714285715E-2</v>
      </c>
      <c r="T59" s="6">
        <f>13/$T$3</f>
        <v>2.3214285714285715E-2</v>
      </c>
      <c r="V59">
        <v>16</v>
      </c>
      <c r="W59" s="6">
        <f>V59/V76</f>
        <v>2.9629629629629631E-2</v>
      </c>
      <c r="X59" s="6">
        <f>16/$X$3</f>
        <v>2.9629629629629631E-2</v>
      </c>
      <c r="Z59">
        <v>3</v>
      </c>
      <c r="AA59" s="6">
        <f>Z59/Z76</f>
        <v>2.6548672566371681E-2</v>
      </c>
      <c r="AB59" s="6">
        <f>3/$AB$3</f>
        <v>2.6548672566371681E-2</v>
      </c>
      <c r="AD59">
        <v>10</v>
      </c>
      <c r="AE59" s="6">
        <f>AD59/AD76</f>
        <v>5.0505050505050504E-2</v>
      </c>
      <c r="AF59" s="6">
        <f>10/$AF$3</f>
        <v>5.0505050505050504E-2</v>
      </c>
      <c r="AH59">
        <v>6</v>
      </c>
      <c r="AI59" s="6">
        <f>AH59/AH76</f>
        <v>2.4291497975708502E-2</v>
      </c>
      <c r="AJ59" s="6">
        <f>6/$AJ$3</f>
        <v>2.4291497975708502E-2</v>
      </c>
      <c r="AL59">
        <v>5</v>
      </c>
      <c r="AM59" s="6">
        <f>AL59/AL76</f>
        <v>2.1551724137931036E-2</v>
      </c>
      <c r="AN59" s="6">
        <f>5/$AN$3</f>
        <v>2.1551724137931036E-2</v>
      </c>
      <c r="AP59">
        <v>4</v>
      </c>
      <c r="AQ59" s="6">
        <f>AP59/AP76</f>
        <v>2.1505376344086023E-2</v>
      </c>
      <c r="AR59" s="6">
        <f>4/$AR$3</f>
        <v>2.1505376344086023E-2</v>
      </c>
      <c r="AT59">
        <v>1</v>
      </c>
      <c r="AU59" s="6">
        <f>AT59/AT76</f>
        <v>8.0645161290322578E-3</v>
      </c>
      <c r="AV59" s="6">
        <f>1/$AV$3</f>
        <v>8.0645161290322578E-3</v>
      </c>
      <c r="AX59">
        <v>16</v>
      </c>
      <c r="AY59" s="6">
        <f>AX59/AX76</f>
        <v>3.7209302325581395E-2</v>
      </c>
      <c r="AZ59" s="6">
        <f>16/$AZ$3</f>
        <v>3.7209302325581395E-2</v>
      </c>
      <c r="BB59">
        <v>8</v>
      </c>
      <c r="BC59" s="6">
        <f>BB59/BB76</f>
        <v>1.8691588785046728E-2</v>
      </c>
      <c r="BD59" s="6">
        <f>8/$BD$3</f>
        <v>1.8691588785046728E-2</v>
      </c>
      <c r="BF59">
        <v>5</v>
      </c>
      <c r="BG59" s="6">
        <f>BF59/BF76</f>
        <v>2.0661157024793389E-2</v>
      </c>
      <c r="BH59" s="6">
        <f>5/$BH$3</f>
        <v>2.0661157024793389E-2</v>
      </c>
      <c r="BJ59">
        <v>15</v>
      </c>
      <c r="BK59" s="6">
        <f>BJ59/BJ76</f>
        <v>3.7220843672456573E-2</v>
      </c>
      <c r="BL59" s="6">
        <f>15/$BL$3</f>
        <v>3.7220843672456573E-2</v>
      </c>
      <c r="BN59">
        <v>9</v>
      </c>
      <c r="BO59" s="6">
        <f>BN59/BN76</f>
        <v>2.1276595744680851E-2</v>
      </c>
      <c r="BP59" s="6">
        <f>9/$BP$3</f>
        <v>2.1276595744680851E-2</v>
      </c>
      <c r="BR59">
        <v>5</v>
      </c>
      <c r="BS59" s="6">
        <f>BR59/BR76</f>
        <v>1.824817518248175E-2</v>
      </c>
      <c r="BT59" s="6">
        <f>5/$BT$3</f>
        <v>1.824817518248175E-2</v>
      </c>
      <c r="BV59">
        <v>13</v>
      </c>
      <c r="BW59" s="6">
        <f>BV59/BV76</f>
        <v>4.2622950819672129E-2</v>
      </c>
      <c r="BX59" s="6">
        <f>13/$BX$3</f>
        <v>4.2622950819672129E-2</v>
      </c>
      <c r="BZ59">
        <v>6</v>
      </c>
      <c r="CA59" s="6">
        <f>BZ59/BZ76</f>
        <v>2.6785714285714284E-2</v>
      </c>
      <c r="CB59" s="6">
        <f>6/$CB$3</f>
        <v>2.6785714285714284E-2</v>
      </c>
      <c r="CD59">
        <v>2</v>
      </c>
      <c r="CE59" s="6">
        <f>CD59/CD76</f>
        <v>8.2987551867219917E-3</v>
      </c>
      <c r="CF59" s="6">
        <f>2/$CF$3</f>
        <v>8.2987551867219917E-3</v>
      </c>
      <c r="CH59">
        <v>8</v>
      </c>
      <c r="CI59" s="6">
        <f>CH59/CH76</f>
        <v>2.4242424242424242E-2</v>
      </c>
      <c r="CJ59" s="6">
        <f>8/$CJ$3</f>
        <v>2.4242424242424242E-2</v>
      </c>
    </row>
    <row r="60" spans="1:89" x14ac:dyDescent="0.35">
      <c r="A60" s="1" t="s">
        <v>448</v>
      </c>
      <c r="B60">
        <v>23</v>
      </c>
      <c r="C60" s="6">
        <f>B60/B76</f>
        <v>2.0909090909090908E-2</v>
      </c>
      <c r="D60" s="6">
        <f>23/$D$3</f>
        <v>2.0909090909090908E-2</v>
      </c>
      <c r="F60">
        <v>21</v>
      </c>
      <c r="G60" s="6">
        <f>F60/F76</f>
        <v>2.3051591657519209E-2</v>
      </c>
      <c r="H60" s="6">
        <f>21/$H$3</f>
        <v>2.3051591657519209E-2</v>
      </c>
      <c r="J60">
        <v>23</v>
      </c>
      <c r="K60" s="6">
        <f>J60/J76</f>
        <v>5.2995391705069124E-2</v>
      </c>
      <c r="L60" s="6">
        <f>23/$L$3</f>
        <v>5.2995391705069124E-2</v>
      </c>
      <c r="N60">
        <v>0</v>
      </c>
      <c r="O60" s="6">
        <f>N60/N76</f>
        <v>0</v>
      </c>
      <c r="P60" s="6">
        <f>0/$P$3</f>
        <v>0</v>
      </c>
      <c r="R60">
        <v>12</v>
      </c>
      <c r="S60" s="6">
        <f>R60/R76</f>
        <v>2.1428571428571429E-2</v>
      </c>
      <c r="T60" s="6">
        <f>12/$T$3</f>
        <v>2.1428571428571429E-2</v>
      </c>
      <c r="V60">
        <v>11</v>
      </c>
      <c r="W60" s="6">
        <f>V60/V76</f>
        <v>2.0370370370370372E-2</v>
      </c>
      <c r="X60" s="6">
        <f>11/$X$3</f>
        <v>2.0370370370370372E-2</v>
      </c>
      <c r="Z60">
        <v>2</v>
      </c>
      <c r="AA60" s="6">
        <f>Z60/Z76</f>
        <v>1.7699115044247787E-2</v>
      </c>
      <c r="AB60" s="6">
        <f>2/$AB$3</f>
        <v>1.7699115044247787E-2</v>
      </c>
      <c r="AD60">
        <v>5</v>
      </c>
      <c r="AE60" s="6">
        <f>AD60/AD76</f>
        <v>2.5252525252525252E-2</v>
      </c>
      <c r="AF60" s="6">
        <f>5/$AF$3</f>
        <v>2.5252525252525252E-2</v>
      </c>
      <c r="AH60">
        <v>4</v>
      </c>
      <c r="AI60" s="6">
        <f>AH60/AH76</f>
        <v>1.6194331983805668E-2</v>
      </c>
      <c r="AJ60" s="6">
        <f>4/$AJ$3</f>
        <v>1.6194331983805668E-2</v>
      </c>
      <c r="AL60">
        <v>7</v>
      </c>
      <c r="AM60" s="6">
        <f>AL60/AL76</f>
        <v>3.017241379310345E-2</v>
      </c>
      <c r="AN60" s="6">
        <f>7/$AN$3</f>
        <v>3.017241379310345E-2</v>
      </c>
      <c r="AP60">
        <v>4</v>
      </c>
      <c r="AQ60" s="6">
        <f>AP60/AP76</f>
        <v>2.1505376344086023E-2</v>
      </c>
      <c r="AR60" s="6">
        <f>4/$AR$3</f>
        <v>2.1505376344086023E-2</v>
      </c>
      <c r="AT60">
        <v>1</v>
      </c>
      <c r="AU60" s="6">
        <f>AT60/AT76</f>
        <v>8.0645161290322578E-3</v>
      </c>
      <c r="AV60" s="6">
        <f>1/$AV$3</f>
        <v>8.0645161290322578E-3</v>
      </c>
      <c r="AX60">
        <v>13</v>
      </c>
      <c r="AY60" s="6">
        <f>AX60/AX76</f>
        <v>3.0232558139534883E-2</v>
      </c>
      <c r="AZ60" s="6">
        <f>13/$AZ$3</f>
        <v>3.0232558139534883E-2</v>
      </c>
      <c r="BB60">
        <v>6</v>
      </c>
      <c r="BC60" s="6">
        <f>BB60/BB76</f>
        <v>1.4018691588785047E-2</v>
      </c>
      <c r="BD60" s="6">
        <f>6/$BD$3</f>
        <v>1.4018691588785047E-2</v>
      </c>
      <c r="BF60">
        <v>4</v>
      </c>
      <c r="BG60" s="6">
        <f>BF60/BF76</f>
        <v>1.6528925619834711E-2</v>
      </c>
      <c r="BH60" s="6">
        <f>4/$BH$3</f>
        <v>1.6528925619834711E-2</v>
      </c>
      <c r="BJ60">
        <v>13</v>
      </c>
      <c r="BK60" s="6">
        <f>BJ60/BJ76</f>
        <v>3.2258064516129031E-2</v>
      </c>
      <c r="BL60" s="6">
        <f>13/$BL$3</f>
        <v>3.2258064516129031E-2</v>
      </c>
      <c r="BN60">
        <v>7</v>
      </c>
      <c r="BO60" s="6">
        <f>BN60/BN76</f>
        <v>1.6548463356973995E-2</v>
      </c>
      <c r="BP60" s="6">
        <f>7/$BP$3</f>
        <v>1.6548463356973995E-2</v>
      </c>
      <c r="BR60">
        <v>3</v>
      </c>
      <c r="BS60" s="6">
        <f>BR60/BR76</f>
        <v>1.0948905109489052E-2</v>
      </c>
      <c r="BT60" s="6">
        <f>3/$BT$3</f>
        <v>1.0948905109489052E-2</v>
      </c>
      <c r="BV60">
        <v>5</v>
      </c>
      <c r="BW60" s="6">
        <f>BV60/BV76</f>
        <v>1.6393442622950821E-2</v>
      </c>
      <c r="BX60" s="6">
        <f>5/$BX$3</f>
        <v>1.6393442622950821E-2</v>
      </c>
      <c r="BZ60">
        <v>8</v>
      </c>
      <c r="CA60" s="6">
        <f>BZ60/BZ76</f>
        <v>3.5714285714285712E-2</v>
      </c>
      <c r="CB60" s="6">
        <f>8/$CB$3</f>
        <v>3.5714285714285712E-2</v>
      </c>
      <c r="CD60">
        <v>4</v>
      </c>
      <c r="CE60" s="6">
        <f>CD60/CD76</f>
        <v>1.6597510373443983E-2</v>
      </c>
      <c r="CF60" s="6">
        <f>4/$CF$3</f>
        <v>1.6597510373443983E-2</v>
      </c>
      <c r="CH60">
        <v>6</v>
      </c>
      <c r="CI60" s="6">
        <f>CH60/CH76</f>
        <v>1.8181818181818181E-2</v>
      </c>
      <c r="CJ60" s="6">
        <f>6/$CJ$3</f>
        <v>1.8181818181818181E-2</v>
      </c>
    </row>
    <row r="61" spans="1:89" x14ac:dyDescent="0.35">
      <c r="A61" s="1" t="s">
        <v>449</v>
      </c>
      <c r="B61">
        <v>39</v>
      </c>
      <c r="C61" s="6">
        <f>B61/B76</f>
        <v>3.5454545454545454E-2</v>
      </c>
      <c r="D61" s="6">
        <f>39/$D$3</f>
        <v>3.5454545454545454E-2</v>
      </c>
      <c r="F61">
        <v>32</v>
      </c>
      <c r="G61" s="6">
        <f>F61/F76</f>
        <v>3.512623490669594E-2</v>
      </c>
      <c r="H61" s="6">
        <f>32/$H$3</f>
        <v>3.512623490669594E-2</v>
      </c>
      <c r="J61">
        <v>16</v>
      </c>
      <c r="K61" s="6">
        <f>J61/J76</f>
        <v>3.6866359447004608E-2</v>
      </c>
      <c r="L61" s="6">
        <f>16/$L$3</f>
        <v>3.6866359447004608E-2</v>
      </c>
      <c r="N61">
        <v>4</v>
      </c>
      <c r="O61" s="6">
        <f>N61/N76</f>
        <v>4.9382716049382713E-2</v>
      </c>
      <c r="P61" s="6">
        <f>4/$P$3</f>
        <v>4.9382716049382713E-2</v>
      </c>
      <c r="R61">
        <v>22</v>
      </c>
      <c r="S61" s="6">
        <f>R61/R76</f>
        <v>3.9285714285714285E-2</v>
      </c>
      <c r="T61" s="6">
        <f>22/$T$3</f>
        <v>3.9285714285714285E-2</v>
      </c>
      <c r="V61">
        <v>17</v>
      </c>
      <c r="W61" s="6">
        <f>V61/V76</f>
        <v>3.1481481481481478E-2</v>
      </c>
      <c r="X61" s="6">
        <f>17/$X$3</f>
        <v>3.1481481481481478E-2</v>
      </c>
      <c r="Z61">
        <v>7</v>
      </c>
      <c r="AA61" s="6">
        <f>Z61/Z76</f>
        <v>6.1946902654867256E-2</v>
      </c>
      <c r="AB61" s="6">
        <f>7/$AB$3</f>
        <v>6.1946902654867256E-2</v>
      </c>
      <c r="AD61">
        <v>13</v>
      </c>
      <c r="AE61" s="6">
        <f>AD61/AD76</f>
        <v>6.5656565656565663E-2</v>
      </c>
      <c r="AF61" s="6">
        <f>13/$AF$3</f>
        <v>6.5656565656565663E-2</v>
      </c>
      <c r="AH61">
        <v>7</v>
      </c>
      <c r="AI61" s="6">
        <f>AH61/AH76</f>
        <v>2.8340080971659919E-2</v>
      </c>
      <c r="AJ61" s="6">
        <f>7/$AJ$3</f>
        <v>2.8340080971659919E-2</v>
      </c>
      <c r="AL61">
        <v>4</v>
      </c>
      <c r="AM61" s="6">
        <f>AL61/AL76</f>
        <v>1.7241379310344827E-2</v>
      </c>
      <c r="AN61" s="6">
        <f>4/$AN$3</f>
        <v>1.7241379310344827E-2</v>
      </c>
      <c r="AP61">
        <v>4</v>
      </c>
      <c r="AQ61" s="6">
        <f>AP61/AP76</f>
        <v>2.1505376344086023E-2</v>
      </c>
      <c r="AR61" s="6">
        <f>4/$AR$3</f>
        <v>2.1505376344086023E-2</v>
      </c>
      <c r="AT61">
        <v>4</v>
      </c>
      <c r="AU61" s="6">
        <f>AT61/AT76</f>
        <v>3.2258064516129031E-2</v>
      </c>
      <c r="AV61" s="6">
        <f>4/$AV$3</f>
        <v>3.2258064516129031E-2</v>
      </c>
      <c r="AX61">
        <v>13</v>
      </c>
      <c r="AY61" s="6">
        <f>AX61/AX76</f>
        <v>3.0232558139534883E-2</v>
      </c>
      <c r="AZ61" s="6">
        <f>13/$AZ$3</f>
        <v>3.0232558139534883E-2</v>
      </c>
      <c r="BB61">
        <v>19</v>
      </c>
      <c r="BC61" s="6">
        <f>BB61/BB76</f>
        <v>4.4392523364485979E-2</v>
      </c>
      <c r="BD61" s="6">
        <f>19/$BD$3</f>
        <v>4.4392523364485979E-2</v>
      </c>
      <c r="BF61">
        <v>7</v>
      </c>
      <c r="BG61" s="6">
        <f>BF61/BF76</f>
        <v>2.8925619834710745E-2</v>
      </c>
      <c r="BH61" s="6">
        <f>7/$BH$3</f>
        <v>2.8925619834710745E-2</v>
      </c>
      <c r="BJ61">
        <v>20</v>
      </c>
      <c r="BK61" s="6">
        <f>BJ61/BJ76</f>
        <v>4.9627791563275438E-2</v>
      </c>
      <c r="BL61" s="6">
        <f>20/$BL$3</f>
        <v>4.9627791563275438E-2</v>
      </c>
      <c r="BN61">
        <v>12</v>
      </c>
      <c r="BO61" s="6">
        <f>BN61/BN76</f>
        <v>2.8368794326241134E-2</v>
      </c>
      <c r="BP61" s="6">
        <f>12/$BP$3</f>
        <v>2.8368794326241134E-2</v>
      </c>
      <c r="BR61">
        <v>7</v>
      </c>
      <c r="BS61" s="6">
        <f>BR61/BR76</f>
        <v>2.5547445255474453E-2</v>
      </c>
      <c r="BT61" s="6">
        <f>7/$BT$3</f>
        <v>2.5547445255474453E-2</v>
      </c>
      <c r="BV61">
        <v>12</v>
      </c>
      <c r="BW61" s="6">
        <f>BV61/BV76</f>
        <v>3.9344262295081971E-2</v>
      </c>
      <c r="BX61" s="6">
        <f>12/$BX$3</f>
        <v>3.9344262295081971E-2</v>
      </c>
      <c r="BZ61">
        <v>6</v>
      </c>
      <c r="CA61" s="6">
        <f>BZ61/BZ76</f>
        <v>2.6785714285714284E-2</v>
      </c>
      <c r="CB61" s="6">
        <f>6/$CB$3</f>
        <v>2.6785714285714284E-2</v>
      </c>
      <c r="CD61">
        <v>8</v>
      </c>
      <c r="CE61" s="6">
        <f>CD61/CD76</f>
        <v>3.3195020746887967E-2</v>
      </c>
      <c r="CF61" s="6">
        <f>8/$CF$3</f>
        <v>3.3195020746887967E-2</v>
      </c>
      <c r="CH61">
        <v>13</v>
      </c>
      <c r="CI61" s="6">
        <f>CH61/CH76</f>
        <v>3.9393939393939391E-2</v>
      </c>
      <c r="CJ61" s="6">
        <f>13/$CJ$3</f>
        <v>3.9393939393939391E-2</v>
      </c>
    </row>
    <row r="63" spans="1:89" x14ac:dyDescent="0.35">
      <c r="A63" s="1" t="s">
        <v>450</v>
      </c>
      <c r="B63">
        <v>32</v>
      </c>
      <c r="C63" s="6">
        <f>B63/B76</f>
        <v>2.9090909090909091E-2</v>
      </c>
      <c r="D63" s="6">
        <f>32/$D$3</f>
        <v>2.9090909090909091E-2</v>
      </c>
      <c r="F63">
        <v>29</v>
      </c>
      <c r="G63" s="6">
        <f>F63/F76</f>
        <v>3.1833150384193196E-2</v>
      </c>
      <c r="H63" s="6">
        <f>29/$H$3</f>
        <v>3.1833150384193196E-2</v>
      </c>
      <c r="J63">
        <v>13</v>
      </c>
      <c r="K63" s="6">
        <f>J63/J76</f>
        <v>2.9953917050691243E-2</v>
      </c>
      <c r="L63" s="6">
        <f>13/$L$3</f>
        <v>2.9953917050691243E-2</v>
      </c>
      <c r="N63">
        <v>6</v>
      </c>
      <c r="O63" s="6">
        <f>N63/N76</f>
        <v>7.407407407407407E-2</v>
      </c>
      <c r="P63" s="6">
        <f>6/$P$3</f>
        <v>7.407407407407407E-2</v>
      </c>
      <c r="R63">
        <v>16</v>
      </c>
      <c r="S63" s="6">
        <f>R63/R76</f>
        <v>2.8571428571428571E-2</v>
      </c>
      <c r="T63" s="6">
        <f>16/$T$3</f>
        <v>2.8571428571428571E-2</v>
      </c>
      <c r="V63">
        <v>16</v>
      </c>
      <c r="W63" s="6">
        <f>V63/V76</f>
        <v>2.9629629629629631E-2</v>
      </c>
      <c r="X63" s="6">
        <f>16/$X$3</f>
        <v>2.9629629629629631E-2</v>
      </c>
      <c r="Z63">
        <v>3</v>
      </c>
      <c r="AA63" s="6">
        <f>Z63/Z76</f>
        <v>2.6548672566371681E-2</v>
      </c>
      <c r="AB63" s="6">
        <f>3/$AB$3</f>
        <v>2.6548672566371681E-2</v>
      </c>
      <c r="AD63">
        <v>5</v>
      </c>
      <c r="AE63" s="6">
        <f>AD63/AD76</f>
        <v>2.5252525252525252E-2</v>
      </c>
      <c r="AF63" s="6">
        <f>5/$AF$3</f>
        <v>2.5252525252525252E-2</v>
      </c>
      <c r="AH63">
        <v>6</v>
      </c>
      <c r="AI63" s="6">
        <f>AH63/AH76</f>
        <v>2.4291497975708502E-2</v>
      </c>
      <c r="AJ63" s="6">
        <f>6/$AJ$3</f>
        <v>2.4291497975708502E-2</v>
      </c>
      <c r="AL63">
        <v>7</v>
      </c>
      <c r="AM63" s="6">
        <f>AL63/AL76</f>
        <v>3.017241379310345E-2</v>
      </c>
      <c r="AN63" s="6">
        <f>7/$AN$3</f>
        <v>3.017241379310345E-2</v>
      </c>
      <c r="AP63">
        <v>7</v>
      </c>
      <c r="AQ63" s="6">
        <f>AP63/AP76</f>
        <v>3.7634408602150539E-2</v>
      </c>
      <c r="AR63" s="6">
        <f>7/$AR$3</f>
        <v>3.7634408602150539E-2</v>
      </c>
      <c r="AT63">
        <v>4</v>
      </c>
      <c r="AU63" s="6">
        <f>AT63/AT76</f>
        <v>3.2258064516129031E-2</v>
      </c>
      <c r="AV63" s="6">
        <f>4/$AV$3</f>
        <v>3.2258064516129031E-2</v>
      </c>
      <c r="AX63">
        <v>11</v>
      </c>
      <c r="AY63" s="6">
        <f>AX63/AX76</f>
        <v>2.5581395348837209E-2</v>
      </c>
      <c r="AZ63" s="6">
        <f>11/$AZ$3</f>
        <v>2.5581395348837209E-2</v>
      </c>
      <c r="BB63">
        <v>14</v>
      </c>
      <c r="BC63" s="6">
        <f>BB63/BB76</f>
        <v>3.2710280373831772E-2</v>
      </c>
      <c r="BD63" s="6">
        <f>14/$BD$3</f>
        <v>3.2710280373831772E-2</v>
      </c>
      <c r="BF63">
        <v>7</v>
      </c>
      <c r="BG63" s="6">
        <f>BF63/BF76</f>
        <v>2.8925619834710745E-2</v>
      </c>
      <c r="BH63" s="6">
        <f>7/$BH$3</f>
        <v>2.8925619834710745E-2</v>
      </c>
      <c r="BJ63">
        <v>16</v>
      </c>
      <c r="BK63" s="6">
        <f>BJ63/BJ76</f>
        <v>3.9702233250620347E-2</v>
      </c>
      <c r="BL63" s="6">
        <f>16/$BL$3</f>
        <v>3.9702233250620347E-2</v>
      </c>
      <c r="BN63">
        <v>11</v>
      </c>
      <c r="BO63" s="6">
        <f>BN63/BN76</f>
        <v>2.6004728132387706E-2</v>
      </c>
      <c r="BP63" s="6">
        <f>11/$BP$3</f>
        <v>2.6004728132387706E-2</v>
      </c>
      <c r="BR63">
        <v>5</v>
      </c>
      <c r="BS63" s="6">
        <f>BR63/BR76</f>
        <v>1.824817518248175E-2</v>
      </c>
      <c r="BT63" s="6">
        <f>5/$BT$3</f>
        <v>1.824817518248175E-2</v>
      </c>
      <c r="BV63">
        <v>15</v>
      </c>
      <c r="BW63" s="6">
        <f>BV63/BV76</f>
        <v>4.9180327868852458E-2</v>
      </c>
      <c r="BX63" s="6">
        <f>15/$BX$3</f>
        <v>4.9180327868852458E-2</v>
      </c>
      <c r="BZ63">
        <v>3</v>
      </c>
      <c r="CA63" s="6">
        <f>BZ63/BZ76</f>
        <v>1.3392857142857142E-2</v>
      </c>
      <c r="CB63" s="6">
        <f>3/$CB$3</f>
        <v>1.3392857142857142E-2</v>
      </c>
      <c r="CD63">
        <v>6</v>
      </c>
      <c r="CE63" s="6">
        <f>CD63/CD76</f>
        <v>2.4896265560165973E-2</v>
      </c>
      <c r="CF63" s="6">
        <f>6/$CF$3</f>
        <v>2.4896265560165973E-2</v>
      </c>
      <c r="CH63">
        <v>8</v>
      </c>
      <c r="CI63" s="6">
        <f>CH63/CH76</f>
        <v>2.4242424242424242E-2</v>
      </c>
      <c r="CJ63" s="6">
        <f>8/$CJ$3</f>
        <v>2.4242424242424242E-2</v>
      </c>
    </row>
    <row r="64" spans="1:89" x14ac:dyDescent="0.35">
      <c r="A64" s="1" t="s">
        <v>451</v>
      </c>
      <c r="B64">
        <v>67</v>
      </c>
      <c r="C64" s="6">
        <f>B64/B76</f>
        <v>6.0909090909090906E-2</v>
      </c>
      <c r="D64" s="6">
        <f>67/$D$3</f>
        <v>6.0909090909090906E-2</v>
      </c>
      <c r="F64">
        <v>58</v>
      </c>
      <c r="G64" s="6">
        <f>F64/F76</f>
        <v>6.3666300768386391E-2</v>
      </c>
      <c r="H64" s="6">
        <f>58/$H$3</f>
        <v>6.3666300768386391E-2</v>
      </c>
      <c r="J64">
        <v>29</v>
      </c>
      <c r="K64" s="6">
        <f>J64/J76</f>
        <v>6.6820276497695855E-2</v>
      </c>
      <c r="L64" s="6">
        <f>29/$L$3</f>
        <v>6.6820276497695855E-2</v>
      </c>
      <c r="N64">
        <v>19</v>
      </c>
      <c r="O64" s="6">
        <f>N64/N76</f>
        <v>0.23456790123456789</v>
      </c>
      <c r="P64" s="6">
        <f>19/$P$3</f>
        <v>0.23456790123456789</v>
      </c>
      <c r="R64">
        <v>26</v>
      </c>
      <c r="S64" s="6">
        <f>R64/R76</f>
        <v>4.642857142857143E-2</v>
      </c>
      <c r="T64" s="6">
        <f>26/$T$3</f>
        <v>4.642857142857143E-2</v>
      </c>
      <c r="V64">
        <v>41</v>
      </c>
      <c r="W64" s="6">
        <f>V64/V76</f>
        <v>7.5925925925925924E-2</v>
      </c>
      <c r="X64" s="6">
        <f>41/$X$3</f>
        <v>7.5925925925925924E-2</v>
      </c>
      <c r="Z64">
        <v>7</v>
      </c>
      <c r="AA64" s="6">
        <f>Z64/Z76</f>
        <v>6.1946902654867256E-2</v>
      </c>
      <c r="AB64" s="6">
        <f>7/$AB$3</f>
        <v>6.1946902654867256E-2</v>
      </c>
      <c r="AD64">
        <v>13</v>
      </c>
      <c r="AE64" s="6">
        <f>AD64/AD76</f>
        <v>6.5656565656565663E-2</v>
      </c>
      <c r="AF64" s="6">
        <f>13/$AF$3</f>
        <v>6.5656565656565663E-2</v>
      </c>
      <c r="AH64">
        <v>18</v>
      </c>
      <c r="AI64" s="6">
        <f>AH64/AH76</f>
        <v>7.28744939271255E-2</v>
      </c>
      <c r="AJ64" s="6">
        <f>18/$AJ$3</f>
        <v>7.28744939271255E-2</v>
      </c>
      <c r="AL64">
        <v>12</v>
      </c>
      <c r="AM64" s="6">
        <f>AL64/AL76</f>
        <v>5.1724137931034482E-2</v>
      </c>
      <c r="AN64" s="6">
        <f>12/$AN$3</f>
        <v>5.1724137931034482E-2</v>
      </c>
      <c r="AP64">
        <v>13</v>
      </c>
      <c r="AQ64" s="6">
        <f>AP64/AP76</f>
        <v>6.9892473118279563E-2</v>
      </c>
      <c r="AR64" s="6">
        <f>13/$AR$3</f>
        <v>6.9892473118279563E-2</v>
      </c>
      <c r="AT64">
        <v>4</v>
      </c>
      <c r="AU64" s="6">
        <f>AT64/AT76</f>
        <v>3.2258064516129031E-2</v>
      </c>
      <c r="AV64" s="6">
        <f>4/$AV$3</f>
        <v>3.2258064516129031E-2</v>
      </c>
      <c r="AX64">
        <v>31</v>
      </c>
      <c r="AY64" s="6">
        <f>AX64/AX76</f>
        <v>7.2093023255813959E-2</v>
      </c>
      <c r="AZ64" s="6">
        <f>31/$AZ$3</f>
        <v>7.2093023255813959E-2</v>
      </c>
      <c r="BB64">
        <v>22</v>
      </c>
      <c r="BC64" s="6">
        <f>BB64/BB76</f>
        <v>5.1401869158878503E-2</v>
      </c>
      <c r="BD64" s="6">
        <f>22/$BD$3</f>
        <v>5.1401869158878503E-2</v>
      </c>
      <c r="BF64">
        <v>14</v>
      </c>
      <c r="BG64" s="6">
        <f>BF64/BF76</f>
        <v>5.7851239669421489E-2</v>
      </c>
      <c r="BH64" s="6">
        <f>14/$BH$3</f>
        <v>5.7851239669421489E-2</v>
      </c>
      <c r="BJ64">
        <v>32</v>
      </c>
      <c r="BK64" s="6">
        <f>BJ64/BJ76</f>
        <v>7.9404466501240695E-2</v>
      </c>
      <c r="BL64" s="6">
        <f>32/$BL$3</f>
        <v>7.9404466501240695E-2</v>
      </c>
      <c r="BN64">
        <v>25</v>
      </c>
      <c r="BO64" s="6">
        <f>BN64/BN76</f>
        <v>5.9101654846335699E-2</v>
      </c>
      <c r="BP64" s="6">
        <f>25/$BP$3</f>
        <v>5.9101654846335699E-2</v>
      </c>
      <c r="BR64">
        <v>10</v>
      </c>
      <c r="BS64" s="6">
        <f>BR64/BR76</f>
        <v>3.6496350364963501E-2</v>
      </c>
      <c r="BT64" s="6">
        <f>10/$BT$3</f>
        <v>3.6496350364963501E-2</v>
      </c>
      <c r="BV64">
        <v>22</v>
      </c>
      <c r="BW64" s="6">
        <f>BV64/BV76</f>
        <v>7.2131147540983612E-2</v>
      </c>
      <c r="BX64" s="6">
        <f>22/$BX$3</f>
        <v>7.2131147540983612E-2</v>
      </c>
      <c r="BZ64">
        <v>11</v>
      </c>
      <c r="CA64" s="6">
        <f>BZ64/BZ76</f>
        <v>4.9107142857142856E-2</v>
      </c>
      <c r="CB64" s="6">
        <f>11/$CB$3</f>
        <v>4.9107142857142856E-2</v>
      </c>
      <c r="CD64">
        <v>12</v>
      </c>
      <c r="CE64" s="6">
        <f>CD64/CD76</f>
        <v>4.9792531120331947E-2</v>
      </c>
      <c r="CF64" s="6">
        <f>12/$CF$3</f>
        <v>4.9792531120331947E-2</v>
      </c>
      <c r="CH64">
        <v>22</v>
      </c>
      <c r="CI64" s="6">
        <f>CH64/CH76</f>
        <v>6.6666666666666666E-2</v>
      </c>
      <c r="CJ64" s="6">
        <f>22/$CJ$3</f>
        <v>6.6666666666666666E-2</v>
      </c>
    </row>
    <row r="65" spans="1:89" x14ac:dyDescent="0.35">
      <c r="A65" s="1" t="s">
        <v>452</v>
      </c>
      <c r="B65">
        <v>57</v>
      </c>
      <c r="C65" s="6">
        <f>B65/B76</f>
        <v>5.1818181818181819E-2</v>
      </c>
      <c r="D65" s="6">
        <f>57/$D$3</f>
        <v>5.1818181818181819E-2</v>
      </c>
      <c r="F65">
        <v>47</v>
      </c>
      <c r="G65" s="6">
        <f>F65/F76</f>
        <v>5.159165751920966E-2</v>
      </c>
      <c r="H65" s="6">
        <f>47/$H$3</f>
        <v>5.159165751920966E-2</v>
      </c>
      <c r="J65">
        <v>33</v>
      </c>
      <c r="K65" s="6">
        <f>J65/J76</f>
        <v>7.6036866359447008E-2</v>
      </c>
      <c r="L65" s="6">
        <f>33/$L$3</f>
        <v>7.6036866359447008E-2</v>
      </c>
      <c r="N65">
        <v>14</v>
      </c>
      <c r="O65" s="6">
        <f>N65/N76</f>
        <v>0.1728395061728395</v>
      </c>
      <c r="P65" s="6">
        <f>14/$P$3</f>
        <v>0.1728395061728395</v>
      </c>
      <c r="R65">
        <v>25</v>
      </c>
      <c r="S65" s="6">
        <f>R65/R76</f>
        <v>4.4642857142857144E-2</v>
      </c>
      <c r="T65" s="6">
        <f>25/$T$3</f>
        <v>4.4642857142857144E-2</v>
      </c>
      <c r="V65">
        <v>32</v>
      </c>
      <c r="W65" s="6">
        <f>V65/V76</f>
        <v>5.9259259259259262E-2</v>
      </c>
      <c r="X65" s="6">
        <f>32/$X$3</f>
        <v>5.9259259259259262E-2</v>
      </c>
      <c r="Z65">
        <v>11</v>
      </c>
      <c r="AA65" s="6">
        <f>Z65/Z76</f>
        <v>9.7345132743362831E-2</v>
      </c>
      <c r="AB65" s="6">
        <f>11/$AB$3</f>
        <v>9.7345132743362831E-2</v>
      </c>
      <c r="AD65">
        <v>6</v>
      </c>
      <c r="AE65" s="6">
        <f>AD65/AD76</f>
        <v>3.0303030303030304E-2</v>
      </c>
      <c r="AF65" s="6">
        <f>6/$AF$3</f>
        <v>3.0303030303030304E-2</v>
      </c>
      <c r="AH65">
        <v>11</v>
      </c>
      <c r="AI65" s="6">
        <f>AH65/AH76</f>
        <v>4.4534412955465584E-2</v>
      </c>
      <c r="AJ65" s="6">
        <f>11/$AJ$3</f>
        <v>4.4534412955465584E-2</v>
      </c>
      <c r="AL65">
        <v>11</v>
      </c>
      <c r="AM65" s="6">
        <f>AL65/AL76</f>
        <v>4.7413793103448273E-2</v>
      </c>
      <c r="AN65" s="6">
        <f>11/$AN$3</f>
        <v>4.7413793103448273E-2</v>
      </c>
      <c r="AP65">
        <v>11</v>
      </c>
      <c r="AQ65" s="6">
        <f>AP65/AP76</f>
        <v>5.9139784946236562E-2</v>
      </c>
      <c r="AR65" s="6">
        <f>11/$AR$3</f>
        <v>5.9139784946236562E-2</v>
      </c>
      <c r="AT65">
        <v>7</v>
      </c>
      <c r="AU65" s="6">
        <f>AT65/AT76</f>
        <v>5.6451612903225805E-2</v>
      </c>
      <c r="AV65" s="6">
        <f>7/$AV$3</f>
        <v>5.6451612903225805E-2</v>
      </c>
      <c r="AX65">
        <v>25</v>
      </c>
      <c r="AY65" s="6">
        <f>AX65/AX76</f>
        <v>5.8139534883720929E-2</v>
      </c>
      <c r="AZ65" s="6">
        <f>25/$AZ$3</f>
        <v>5.8139534883720929E-2</v>
      </c>
      <c r="BB65">
        <v>26</v>
      </c>
      <c r="BC65" s="6">
        <f>BB65/BB76</f>
        <v>6.0747663551401869E-2</v>
      </c>
      <c r="BD65" s="6">
        <f>26/$BD$3</f>
        <v>6.0747663551401869E-2</v>
      </c>
      <c r="BF65">
        <v>6</v>
      </c>
      <c r="BG65" s="6">
        <f>BF65/BF76</f>
        <v>2.4793388429752067E-2</v>
      </c>
      <c r="BH65" s="6">
        <f>6/$BH$3</f>
        <v>2.4793388429752067E-2</v>
      </c>
      <c r="BJ65">
        <v>26</v>
      </c>
      <c r="BK65" s="6">
        <f>BJ65/BJ76</f>
        <v>6.4516129032258063E-2</v>
      </c>
      <c r="BL65" s="6">
        <f>26/$BL$3</f>
        <v>6.4516129032258063E-2</v>
      </c>
      <c r="BN65">
        <v>23</v>
      </c>
      <c r="BO65" s="6">
        <f>BN65/BN76</f>
        <v>5.4373522458628844E-2</v>
      </c>
      <c r="BP65" s="6">
        <f>23/$BP$3</f>
        <v>5.4373522458628844E-2</v>
      </c>
      <c r="BR65">
        <v>8</v>
      </c>
      <c r="BS65" s="6">
        <f>BR65/BR76</f>
        <v>2.9197080291970802E-2</v>
      </c>
      <c r="BT65" s="6">
        <f>8/$BT$3</f>
        <v>2.9197080291970802E-2</v>
      </c>
      <c r="BV65">
        <v>15</v>
      </c>
      <c r="BW65" s="6">
        <f>BV65/BV76</f>
        <v>4.9180327868852458E-2</v>
      </c>
      <c r="BX65" s="6">
        <f>15/$BX$3</f>
        <v>4.9180327868852458E-2</v>
      </c>
      <c r="BZ65">
        <v>13</v>
      </c>
      <c r="CA65" s="6">
        <f>BZ65/BZ76</f>
        <v>5.8035714285714288E-2</v>
      </c>
      <c r="CB65" s="6">
        <f>13/$CB$3</f>
        <v>5.8035714285714288E-2</v>
      </c>
      <c r="CD65">
        <v>11</v>
      </c>
      <c r="CE65" s="6">
        <f>CD65/CD76</f>
        <v>4.5643153526970952E-2</v>
      </c>
      <c r="CF65" s="6">
        <f>11/$CF$3</f>
        <v>4.5643153526970952E-2</v>
      </c>
      <c r="CH65">
        <v>18</v>
      </c>
      <c r="CI65" s="6">
        <f>CH65/CH76</f>
        <v>5.4545454545454543E-2</v>
      </c>
      <c r="CJ65" s="6">
        <f>18/$CJ$3</f>
        <v>5.4545454545454543E-2</v>
      </c>
    </row>
    <row r="66" spans="1:89" x14ac:dyDescent="0.35">
      <c r="A66" s="1" t="s">
        <v>453</v>
      </c>
      <c r="B66">
        <v>81</v>
      </c>
      <c r="C66" s="6">
        <f>B66/B76</f>
        <v>7.3636363636363639E-2</v>
      </c>
      <c r="D66" s="6">
        <f>81/$D$3</f>
        <v>7.3636363636363639E-2</v>
      </c>
      <c r="F66">
        <v>67</v>
      </c>
      <c r="G66" s="6">
        <f>F66/F76</f>
        <v>7.3545554335894617E-2</v>
      </c>
      <c r="H66" s="6">
        <f>67/$H$3</f>
        <v>7.3545554335894617E-2</v>
      </c>
      <c r="J66">
        <v>0</v>
      </c>
      <c r="K66" s="6">
        <f>J66/J76</f>
        <v>0</v>
      </c>
      <c r="L66" s="8">
        <f>0/$L$3</f>
        <v>0</v>
      </c>
      <c r="N66">
        <v>81</v>
      </c>
      <c r="O66" s="6">
        <f>N66/N76</f>
        <v>1</v>
      </c>
      <c r="P66" s="6">
        <f>81/$P$3</f>
        <v>1</v>
      </c>
      <c r="R66">
        <v>37</v>
      </c>
      <c r="S66" s="6">
        <f>R66/R76</f>
        <v>6.6071428571428573E-2</v>
      </c>
      <c r="T66" s="6">
        <f>37/$T$3</f>
        <v>6.6071428571428573E-2</v>
      </c>
      <c r="V66">
        <v>44</v>
      </c>
      <c r="W66" s="6">
        <f>V66/V76</f>
        <v>8.1481481481481488E-2</v>
      </c>
      <c r="X66" s="6">
        <f>44/$X$3</f>
        <v>8.1481481481481488E-2</v>
      </c>
      <c r="Z66">
        <v>14</v>
      </c>
      <c r="AA66" s="6">
        <f>Z66/Z76</f>
        <v>0.12389380530973451</v>
      </c>
      <c r="AB66" s="9">
        <f>14/$AB$3</f>
        <v>0.12389380530973451</v>
      </c>
      <c r="AD66">
        <v>12</v>
      </c>
      <c r="AE66" s="6">
        <f>AD66/AD76</f>
        <v>6.0606060606060608E-2</v>
      </c>
      <c r="AF66" s="6">
        <f>12/$AF$3</f>
        <v>6.0606060606060608E-2</v>
      </c>
      <c r="AH66">
        <v>12</v>
      </c>
      <c r="AI66" s="6">
        <f>AH66/AH76</f>
        <v>4.8582995951417005E-2</v>
      </c>
      <c r="AJ66" s="6">
        <f>12/$AJ$3</f>
        <v>4.8582995951417005E-2</v>
      </c>
      <c r="AL66">
        <v>21</v>
      </c>
      <c r="AM66" s="6">
        <f>AL66/AL76</f>
        <v>9.0517241379310345E-2</v>
      </c>
      <c r="AN66" s="6">
        <f>21/$AN$3</f>
        <v>9.0517241379310345E-2</v>
      </c>
      <c r="AP66">
        <v>15</v>
      </c>
      <c r="AQ66" s="6">
        <f>AP66/AP76</f>
        <v>8.0645161290322578E-2</v>
      </c>
      <c r="AR66" s="6">
        <f>15/$AR$3</f>
        <v>8.0645161290322578E-2</v>
      </c>
      <c r="AT66">
        <v>7</v>
      </c>
      <c r="AU66" s="6">
        <f>AT66/AT76</f>
        <v>5.6451612903225805E-2</v>
      </c>
      <c r="AV66" s="6">
        <f>7/$AV$3</f>
        <v>5.6451612903225805E-2</v>
      </c>
      <c r="AX66">
        <v>29</v>
      </c>
      <c r="AY66" s="6">
        <f>AX66/AX76</f>
        <v>6.7441860465116285E-2</v>
      </c>
      <c r="AZ66" s="6">
        <f>29/$AZ$3</f>
        <v>6.7441860465116285E-2</v>
      </c>
      <c r="BB66">
        <v>34</v>
      </c>
      <c r="BC66" s="6">
        <f>BB66/BB76</f>
        <v>7.9439252336448593E-2</v>
      </c>
      <c r="BD66" s="6">
        <f>34/$BD$3</f>
        <v>7.9439252336448593E-2</v>
      </c>
      <c r="BF66">
        <v>18</v>
      </c>
      <c r="BG66" s="6">
        <f>BF66/BF76</f>
        <v>7.43801652892562E-2</v>
      </c>
      <c r="BH66" s="6">
        <f>18/$BH$3</f>
        <v>7.43801652892562E-2</v>
      </c>
      <c r="BJ66">
        <v>32</v>
      </c>
      <c r="BK66" s="6">
        <f>BJ66/BJ76</f>
        <v>7.9404466501240695E-2</v>
      </c>
      <c r="BL66" s="6">
        <f>32/$BL$3</f>
        <v>7.9404466501240695E-2</v>
      </c>
      <c r="BN66">
        <v>26</v>
      </c>
      <c r="BO66" s="6">
        <f>BN66/BN76</f>
        <v>6.1465721040189124E-2</v>
      </c>
      <c r="BP66" s="6">
        <f>26/$BP$3</f>
        <v>6.1465721040189124E-2</v>
      </c>
      <c r="BR66">
        <v>23</v>
      </c>
      <c r="BS66" s="6">
        <f>BR66/BR76</f>
        <v>8.3941605839416053E-2</v>
      </c>
      <c r="BT66" s="6">
        <f>23/$BT$3</f>
        <v>8.3941605839416053E-2</v>
      </c>
      <c r="BV66">
        <v>24</v>
      </c>
      <c r="BW66" s="6">
        <f>BV66/BV76</f>
        <v>7.8688524590163941E-2</v>
      </c>
      <c r="BX66" s="6">
        <f>24/$BX$3</f>
        <v>7.8688524590163941E-2</v>
      </c>
      <c r="BZ66">
        <v>17</v>
      </c>
      <c r="CA66" s="6">
        <f>BZ66/BZ76</f>
        <v>7.5892857142857137E-2</v>
      </c>
      <c r="CB66" s="6">
        <f>17/$CB$3</f>
        <v>7.5892857142857137E-2</v>
      </c>
      <c r="CD66">
        <v>16</v>
      </c>
      <c r="CE66" s="6">
        <f>CD66/CD76</f>
        <v>6.6390041493775934E-2</v>
      </c>
      <c r="CF66" s="6">
        <f>16/$CF$3</f>
        <v>6.6390041493775934E-2</v>
      </c>
      <c r="CH66">
        <v>24</v>
      </c>
      <c r="CI66" s="6">
        <f>CH66/CH76</f>
        <v>7.2727272727272724E-2</v>
      </c>
      <c r="CJ66" s="6">
        <f>24/$CJ$3</f>
        <v>7.2727272727272724E-2</v>
      </c>
    </row>
    <row r="67" spans="1:89" x14ac:dyDescent="0.35">
      <c r="A67" s="1" t="s">
        <v>454</v>
      </c>
      <c r="B67">
        <v>78</v>
      </c>
      <c r="C67" s="6">
        <f>B67/B76</f>
        <v>7.0909090909090908E-2</v>
      </c>
      <c r="D67" s="6">
        <f>78/$D$3</f>
        <v>7.0909090909090908E-2</v>
      </c>
      <c r="F67">
        <v>66</v>
      </c>
      <c r="G67" s="6">
        <f>F67/F76</f>
        <v>7.2447859495060371E-2</v>
      </c>
      <c r="H67" s="6">
        <f>66/$H$3</f>
        <v>7.2447859495060371E-2</v>
      </c>
      <c r="J67">
        <v>32</v>
      </c>
      <c r="K67" s="6">
        <f>J67/J76</f>
        <v>7.3732718894009217E-2</v>
      </c>
      <c r="L67" s="6">
        <f>32/$L$3</f>
        <v>7.3732718894009217E-2</v>
      </c>
      <c r="N67">
        <v>12</v>
      </c>
      <c r="O67" s="6">
        <f>N67/N76</f>
        <v>0.14814814814814814</v>
      </c>
      <c r="P67" s="9">
        <f>12/$P$3</f>
        <v>0.14814814814814814</v>
      </c>
      <c r="R67">
        <v>32</v>
      </c>
      <c r="S67" s="6">
        <f>R67/R76</f>
        <v>5.7142857142857141E-2</v>
      </c>
      <c r="T67" s="6">
        <f>32/$T$3</f>
        <v>5.7142857142857141E-2</v>
      </c>
      <c r="V67">
        <v>46</v>
      </c>
      <c r="W67" s="6">
        <f>V67/V76</f>
        <v>8.5185185185185183E-2</v>
      </c>
      <c r="X67" s="6">
        <f>46/$X$3</f>
        <v>8.5185185185185183E-2</v>
      </c>
      <c r="Z67">
        <v>8</v>
      </c>
      <c r="AA67" s="6">
        <f>Z67/Z76</f>
        <v>7.0796460176991149E-2</v>
      </c>
      <c r="AB67" s="6">
        <f>8/$AB$3</f>
        <v>7.0796460176991149E-2</v>
      </c>
      <c r="AD67">
        <v>9</v>
      </c>
      <c r="AE67" s="6">
        <f>AD67/AD76</f>
        <v>4.5454545454545456E-2</v>
      </c>
      <c r="AF67" s="6">
        <f>9/$AF$3</f>
        <v>4.5454545454545456E-2</v>
      </c>
      <c r="AH67">
        <v>16</v>
      </c>
      <c r="AI67" s="6">
        <f>AH67/AH76</f>
        <v>6.4777327935222673E-2</v>
      </c>
      <c r="AJ67" s="6">
        <f>16/$AJ$3</f>
        <v>6.4777327935222673E-2</v>
      </c>
      <c r="AL67">
        <v>19</v>
      </c>
      <c r="AM67" s="6">
        <f>AL67/AL76</f>
        <v>8.1896551724137928E-2</v>
      </c>
      <c r="AN67" s="6">
        <f>19/$AN$3</f>
        <v>8.1896551724137928E-2</v>
      </c>
      <c r="AP67">
        <v>16</v>
      </c>
      <c r="AQ67" s="6">
        <f>AP67/AP76</f>
        <v>8.6021505376344093E-2</v>
      </c>
      <c r="AR67" s="6">
        <f>16/$AR$3</f>
        <v>8.6021505376344093E-2</v>
      </c>
      <c r="AT67">
        <v>10</v>
      </c>
      <c r="AU67" s="6">
        <f>AT67/AT76</f>
        <v>8.0645161290322578E-2</v>
      </c>
      <c r="AV67" s="6">
        <f>10/$AV$3</f>
        <v>8.0645161290322578E-2</v>
      </c>
      <c r="AX67">
        <v>27</v>
      </c>
      <c r="AY67" s="6">
        <f>AX67/AX76</f>
        <v>6.2790697674418611E-2</v>
      </c>
      <c r="AZ67" s="6">
        <f>27/$AZ$3</f>
        <v>6.2790697674418611E-2</v>
      </c>
      <c r="BB67">
        <v>31</v>
      </c>
      <c r="BC67" s="6">
        <f>BB67/BB76</f>
        <v>7.2429906542056069E-2</v>
      </c>
      <c r="BD67" s="6">
        <f>31/$BD$3</f>
        <v>7.2429906542056069E-2</v>
      </c>
      <c r="BF67">
        <v>20</v>
      </c>
      <c r="BG67" s="6">
        <f>BF67/BF76</f>
        <v>8.2644628099173556E-2</v>
      </c>
      <c r="BH67" s="6">
        <f>20/$BH$3</f>
        <v>8.2644628099173556E-2</v>
      </c>
      <c r="BJ67">
        <v>31</v>
      </c>
      <c r="BK67" s="6">
        <f>BJ67/BJ76</f>
        <v>7.6923076923076927E-2</v>
      </c>
      <c r="BL67" s="6">
        <f>31/$BL$3</f>
        <v>7.6923076923076927E-2</v>
      </c>
      <c r="BN67">
        <v>31</v>
      </c>
      <c r="BO67" s="6">
        <f>BN67/BN76</f>
        <v>7.328605200945626E-2</v>
      </c>
      <c r="BP67" s="6">
        <f>31/$BP$3</f>
        <v>7.328605200945626E-2</v>
      </c>
      <c r="BR67">
        <v>16</v>
      </c>
      <c r="BS67" s="6">
        <f>BR67/BR76</f>
        <v>5.8394160583941604E-2</v>
      </c>
      <c r="BT67" s="6">
        <f>16/$BT$3</f>
        <v>5.8394160583941604E-2</v>
      </c>
      <c r="BV67">
        <v>23</v>
      </c>
      <c r="BW67" s="6">
        <f>BV67/BV76</f>
        <v>7.5409836065573776E-2</v>
      </c>
      <c r="BX67" s="6">
        <f>23/$BX$3</f>
        <v>7.5409836065573776E-2</v>
      </c>
      <c r="BZ67">
        <v>13</v>
      </c>
      <c r="CA67" s="6">
        <f>BZ67/BZ76</f>
        <v>5.8035714285714288E-2</v>
      </c>
      <c r="CB67" s="6">
        <f>13/$CB$3</f>
        <v>5.8035714285714288E-2</v>
      </c>
      <c r="CD67">
        <v>13</v>
      </c>
      <c r="CE67" s="6">
        <f>CD67/CD76</f>
        <v>5.3941908713692949E-2</v>
      </c>
      <c r="CF67" s="6">
        <f>13/$CF$3</f>
        <v>5.3941908713692949E-2</v>
      </c>
      <c r="CH67">
        <v>29</v>
      </c>
      <c r="CI67" s="6">
        <f>CH67/CH76</f>
        <v>8.7878787878787876E-2</v>
      </c>
      <c r="CJ67" s="6">
        <f>29/$CJ$3</f>
        <v>8.7878787878787876E-2</v>
      </c>
    </row>
    <row r="69" spans="1:89" x14ac:dyDescent="0.35">
      <c r="A69" s="1" t="s">
        <v>455</v>
      </c>
      <c r="B69">
        <v>503</v>
      </c>
      <c r="C69" s="6">
        <f>B69/B76</f>
        <v>0.45727272727272728</v>
      </c>
      <c r="D69" s="6">
        <f>503/$D$3</f>
        <v>0.45727272727272728</v>
      </c>
      <c r="F69">
        <v>405</v>
      </c>
      <c r="G69" s="6">
        <f>F69/F76</f>
        <v>0.44456641053787049</v>
      </c>
      <c r="H69" s="6">
        <f>405/$H$3</f>
        <v>0.44456641053787049</v>
      </c>
      <c r="J69">
        <v>226</v>
      </c>
      <c r="K69" s="6">
        <f>J69/J76</f>
        <v>0.52073732718894006</v>
      </c>
      <c r="L69" s="9">
        <f>226/$L$3</f>
        <v>0.52073732718894006</v>
      </c>
      <c r="N69">
        <v>23</v>
      </c>
      <c r="O69" s="6">
        <f>N69/N76</f>
        <v>0.2839506172839506</v>
      </c>
      <c r="P69" s="8">
        <f>23/$P$3</f>
        <v>0.2839506172839506</v>
      </c>
      <c r="R69">
        <v>257</v>
      </c>
      <c r="S69" s="6">
        <f>R69/R76</f>
        <v>0.45892857142857141</v>
      </c>
      <c r="T69" s="6">
        <f>257/$T$3</f>
        <v>0.45892857142857141</v>
      </c>
      <c r="V69">
        <v>246</v>
      </c>
      <c r="W69" s="6">
        <f>V69/V76</f>
        <v>0.45555555555555555</v>
      </c>
      <c r="X69" s="6">
        <f>246/$X$3</f>
        <v>0.45555555555555555</v>
      </c>
      <c r="Z69">
        <v>61</v>
      </c>
      <c r="AA69" s="6">
        <f>Z69/Z76</f>
        <v>0.53982300884955747</v>
      </c>
      <c r="AB69" s="6">
        <f>61/$AB$3</f>
        <v>0.53982300884955747</v>
      </c>
      <c r="AD69">
        <v>107</v>
      </c>
      <c r="AE69" s="6">
        <f>AD69/AD76</f>
        <v>0.54040404040404044</v>
      </c>
      <c r="AF69" s="9">
        <f>107/$AF$3</f>
        <v>0.54040404040404044</v>
      </c>
      <c r="AG69" s="7"/>
      <c r="AH69">
        <v>115</v>
      </c>
      <c r="AI69" s="6">
        <f>AH69/AH76</f>
        <v>0.46558704453441296</v>
      </c>
      <c r="AJ69" s="6">
        <f>115/$AJ$3</f>
        <v>0.46558704453441296</v>
      </c>
      <c r="AL69">
        <v>92</v>
      </c>
      <c r="AM69" s="6">
        <f>AL69/AL76</f>
        <v>0.39655172413793105</v>
      </c>
      <c r="AN69" s="8">
        <f>92/$AN$3</f>
        <v>0.39655172413793105</v>
      </c>
      <c r="AP69">
        <v>73</v>
      </c>
      <c r="AQ69" s="6">
        <f>AP69/AP76</f>
        <v>0.39247311827956988</v>
      </c>
      <c r="AR69" s="6">
        <f>73/$AR$3</f>
        <v>0.39247311827956988</v>
      </c>
      <c r="AT69">
        <v>55</v>
      </c>
      <c r="AU69" s="6">
        <f>AT69/AT76</f>
        <v>0.44354838709677419</v>
      </c>
      <c r="AV69" s="6">
        <f>55/$AV$3</f>
        <v>0.44354838709677419</v>
      </c>
      <c r="AX69">
        <v>189</v>
      </c>
      <c r="AY69" s="6">
        <f>AX69/AX76</f>
        <v>0.43953488372093025</v>
      </c>
      <c r="AZ69" s="6">
        <f>189/$AZ$3</f>
        <v>0.43953488372093025</v>
      </c>
      <c r="BB69">
        <v>197</v>
      </c>
      <c r="BC69" s="6">
        <f>BB69/BB76</f>
        <v>0.46028037383177572</v>
      </c>
      <c r="BD69" s="6">
        <f>197/$BD$3</f>
        <v>0.46028037383177572</v>
      </c>
      <c r="BF69">
        <v>117</v>
      </c>
      <c r="BG69" s="6">
        <f>BF69/BF76</f>
        <v>0.48347107438016529</v>
      </c>
      <c r="BH69" s="6">
        <f>117/$BH$3</f>
        <v>0.48347107438016529</v>
      </c>
      <c r="BJ69">
        <v>180</v>
      </c>
      <c r="BK69" s="6">
        <f>BJ69/BJ76</f>
        <v>0.4466501240694789</v>
      </c>
      <c r="BL69" s="6">
        <f>180/$BL$3</f>
        <v>0.4466501240694789</v>
      </c>
      <c r="BN69">
        <v>199</v>
      </c>
      <c r="BO69" s="6">
        <f>BN69/BN76</f>
        <v>0.47044917257683216</v>
      </c>
      <c r="BP69" s="6">
        <f>199/$BP$3</f>
        <v>0.47044917257683216</v>
      </c>
      <c r="BR69">
        <v>124</v>
      </c>
      <c r="BS69" s="6">
        <f>BR69/BR76</f>
        <v>0.45255474452554745</v>
      </c>
      <c r="BT69" s="6">
        <f>124/$BT$3</f>
        <v>0.45255474452554745</v>
      </c>
      <c r="BV69">
        <v>126</v>
      </c>
      <c r="BW69" s="6">
        <f>BV69/BV76</f>
        <v>0.41311475409836068</v>
      </c>
      <c r="BX69" s="6">
        <f>126/$BX$3</f>
        <v>0.41311475409836068</v>
      </c>
      <c r="BZ69">
        <v>111</v>
      </c>
      <c r="CA69" s="6">
        <f>BZ69/BZ76</f>
        <v>0.4955357142857143</v>
      </c>
      <c r="CB69" s="6">
        <f>111/$CB$3</f>
        <v>0.4955357142857143</v>
      </c>
      <c r="CD69">
        <v>106</v>
      </c>
      <c r="CE69" s="6">
        <f>CD69/CD76</f>
        <v>0.43983402489626555</v>
      </c>
      <c r="CF69" s="6">
        <f>106/$CF$3</f>
        <v>0.43983402489626555</v>
      </c>
      <c r="CH69">
        <v>160</v>
      </c>
      <c r="CI69" s="6">
        <f>CH69/CH76</f>
        <v>0.48484848484848486</v>
      </c>
      <c r="CJ69" s="6">
        <f>160/$CJ$3</f>
        <v>0.48484848484848486</v>
      </c>
    </row>
    <row r="70" spans="1:89" x14ac:dyDescent="0.35">
      <c r="A70" s="1" t="s">
        <v>456</v>
      </c>
      <c r="B70">
        <v>813</v>
      </c>
      <c r="C70" s="6">
        <f>B70/B76</f>
        <v>0.73909090909090913</v>
      </c>
      <c r="D70" s="6">
        <f>813/$D$3</f>
        <v>0.73909090909090913</v>
      </c>
      <c r="F70">
        <v>659</v>
      </c>
      <c r="G70" s="6">
        <f>F70/F76</f>
        <v>0.72338090010976952</v>
      </c>
      <c r="H70" s="6">
        <f>659/$H$3</f>
        <v>0.72338090010976952</v>
      </c>
      <c r="J70">
        <v>311</v>
      </c>
      <c r="K70" s="6">
        <f>J70/J76</f>
        <v>0.71658986175115202</v>
      </c>
      <c r="L70" s="6">
        <f>311/$L$3</f>
        <v>0.71658986175115202</v>
      </c>
      <c r="N70">
        <v>45</v>
      </c>
      <c r="O70" s="6">
        <f>N70/N76</f>
        <v>0.55555555555555558</v>
      </c>
      <c r="P70" s="8">
        <f>45/$P$3</f>
        <v>0.55555555555555558</v>
      </c>
      <c r="R70">
        <v>440</v>
      </c>
      <c r="S70" s="6">
        <f>R70/R76</f>
        <v>0.7857142857142857</v>
      </c>
      <c r="T70" s="6">
        <f>440/$T$3</f>
        <v>0.7857142857142857</v>
      </c>
      <c r="V70">
        <v>373</v>
      </c>
      <c r="W70" s="6">
        <f>V70/V76</f>
        <v>0.69074074074074077</v>
      </c>
      <c r="X70" s="6">
        <f>373/$X$3</f>
        <v>0.69074074074074077</v>
      </c>
      <c r="Z70">
        <v>71</v>
      </c>
      <c r="AA70" s="6">
        <f>Z70/Z76</f>
        <v>0.62831858407079644</v>
      </c>
      <c r="AB70" s="8">
        <f>71/$AB$3</f>
        <v>0.62831858407079644</v>
      </c>
      <c r="AD70">
        <v>152</v>
      </c>
      <c r="AE70" s="6">
        <f>AD70/AD76</f>
        <v>0.76767676767676762</v>
      </c>
      <c r="AF70" s="6">
        <f>152/$AF$3</f>
        <v>0.76767676767676762</v>
      </c>
      <c r="AH70">
        <v>191</v>
      </c>
      <c r="AI70" s="6">
        <f>AH70/AH76</f>
        <v>0.77327935222672062</v>
      </c>
      <c r="AJ70" s="6">
        <f>191/$AJ$3</f>
        <v>0.77327935222672062</v>
      </c>
      <c r="AK70" s="7"/>
      <c r="AL70">
        <v>181</v>
      </c>
      <c r="AM70" s="6">
        <f>AL70/AL76</f>
        <v>0.78017241379310343</v>
      </c>
      <c r="AN70" s="6">
        <f>181/$AN$3</f>
        <v>0.78017241379310343</v>
      </c>
      <c r="AO70" s="7"/>
      <c r="AP70">
        <v>131</v>
      </c>
      <c r="AQ70" s="6">
        <f>AP70/AP76</f>
        <v>0.70430107526881724</v>
      </c>
      <c r="AR70" s="6">
        <f>131/$AR$3</f>
        <v>0.70430107526881724</v>
      </c>
      <c r="AT70">
        <v>87</v>
      </c>
      <c r="AU70" s="6">
        <f>AT70/AT76</f>
        <v>0.70161290322580649</v>
      </c>
      <c r="AV70" s="6">
        <f>87/$AV$3</f>
        <v>0.70161290322580649</v>
      </c>
      <c r="AX70">
        <v>300</v>
      </c>
      <c r="AY70" s="6">
        <f>AX70/AX76</f>
        <v>0.69767441860465118</v>
      </c>
      <c r="AZ70" s="6">
        <f>300/$AZ$3</f>
        <v>0.69767441860465118</v>
      </c>
      <c r="BB70">
        <v>319</v>
      </c>
      <c r="BC70" s="6">
        <f>BB70/BB76</f>
        <v>0.74532710280373837</v>
      </c>
      <c r="BD70" s="6">
        <f>319/$BD$3</f>
        <v>0.74532710280373837</v>
      </c>
      <c r="BF70">
        <v>194</v>
      </c>
      <c r="BG70" s="6">
        <f>BF70/BF76</f>
        <v>0.80165289256198347</v>
      </c>
      <c r="BH70" s="9">
        <f>194/$BH$3</f>
        <v>0.80165289256198347</v>
      </c>
      <c r="BI70" s="7" t="s">
        <v>3</v>
      </c>
      <c r="BJ70">
        <v>285</v>
      </c>
      <c r="BK70" s="6">
        <f>BJ70/BJ76</f>
        <v>0.70719602977667495</v>
      </c>
      <c r="BL70" s="6">
        <f>285/$BL$3</f>
        <v>0.70719602977667495</v>
      </c>
      <c r="BN70">
        <v>314</v>
      </c>
      <c r="BO70" s="6">
        <f>BN70/BN76</f>
        <v>0.74231678486997632</v>
      </c>
      <c r="BP70" s="6">
        <f>314/$BP$3</f>
        <v>0.74231678486997632</v>
      </c>
      <c r="BR70">
        <v>214</v>
      </c>
      <c r="BS70" s="6">
        <f>BR70/BR76</f>
        <v>0.78102189781021902</v>
      </c>
      <c r="BT70" s="6">
        <f>214/$BT$3</f>
        <v>0.78102189781021902</v>
      </c>
      <c r="BV70">
        <v>191</v>
      </c>
      <c r="BW70" s="6">
        <f>BV70/BV76</f>
        <v>0.6262295081967213</v>
      </c>
      <c r="BX70" s="8">
        <f>191/$BX$3</f>
        <v>0.6262295081967213</v>
      </c>
      <c r="BZ70">
        <v>161</v>
      </c>
      <c r="CA70" s="6">
        <f>BZ70/BZ76</f>
        <v>0.71875</v>
      </c>
      <c r="CB70" s="6">
        <f>161/$CB$3</f>
        <v>0.71875</v>
      </c>
      <c r="CD70">
        <v>191</v>
      </c>
      <c r="CE70" s="6">
        <f>CD70/CD76</f>
        <v>0.79253112033195017</v>
      </c>
      <c r="CF70" s="9">
        <f>191/$CF$3</f>
        <v>0.79253112033195017</v>
      </c>
      <c r="CG70" s="7"/>
      <c r="CH70">
        <v>270</v>
      </c>
      <c r="CI70" s="6">
        <f>CH70/CH76</f>
        <v>0.81818181818181823</v>
      </c>
      <c r="CJ70" s="9">
        <f>270/$CJ$3</f>
        <v>0.81818181818181823</v>
      </c>
      <c r="CK70" s="7"/>
    </row>
    <row r="71" spans="1:89" x14ac:dyDescent="0.35">
      <c r="A71" s="1" t="s">
        <v>457</v>
      </c>
      <c r="B71">
        <v>718</v>
      </c>
      <c r="C71" s="6">
        <f>B71/B76</f>
        <v>0.65272727272727271</v>
      </c>
      <c r="D71" s="6">
        <f>718/$D$3</f>
        <v>0.65272727272727271</v>
      </c>
      <c r="F71">
        <v>575</v>
      </c>
      <c r="G71" s="6">
        <f>F71/F76</f>
        <v>0.63117453347969266</v>
      </c>
      <c r="H71" s="6">
        <f>575/$H$3</f>
        <v>0.63117453347969266</v>
      </c>
      <c r="J71">
        <v>294</v>
      </c>
      <c r="K71" s="6">
        <f>J71/J76</f>
        <v>0.67741935483870963</v>
      </c>
      <c r="L71" s="6">
        <f>294/$L$3</f>
        <v>0.67741935483870963</v>
      </c>
      <c r="N71">
        <v>38</v>
      </c>
      <c r="O71" s="6">
        <f>N71/N76</f>
        <v>0.46913580246913578</v>
      </c>
      <c r="P71" s="8">
        <f>38/$P$3</f>
        <v>0.46913580246913578</v>
      </c>
      <c r="R71">
        <v>389</v>
      </c>
      <c r="S71" s="6">
        <f>R71/R76</f>
        <v>0.69464285714285712</v>
      </c>
      <c r="T71" s="6">
        <f>389/$T$3</f>
        <v>0.69464285714285712</v>
      </c>
      <c r="V71">
        <v>329</v>
      </c>
      <c r="W71" s="6">
        <f>V71/V76</f>
        <v>0.60925925925925928</v>
      </c>
      <c r="X71" s="6">
        <f>329/$X$3</f>
        <v>0.60925925925925928</v>
      </c>
      <c r="Z71">
        <v>62</v>
      </c>
      <c r="AA71" s="6">
        <f>Z71/Z76</f>
        <v>0.54867256637168138</v>
      </c>
      <c r="AB71" s="8">
        <f>62/$AB$3</f>
        <v>0.54867256637168138</v>
      </c>
      <c r="AD71">
        <v>131</v>
      </c>
      <c r="AE71" s="6">
        <f>AD71/AD76</f>
        <v>0.66161616161616166</v>
      </c>
      <c r="AF71" s="6">
        <f>131/$AF$3</f>
        <v>0.66161616161616166</v>
      </c>
      <c r="AH71">
        <v>168</v>
      </c>
      <c r="AI71" s="6">
        <f>AH71/AH76</f>
        <v>0.68016194331983804</v>
      </c>
      <c r="AJ71" s="6">
        <f>168/$AJ$3</f>
        <v>0.68016194331983804</v>
      </c>
      <c r="AL71">
        <v>158</v>
      </c>
      <c r="AM71" s="6">
        <f>AL71/AL76</f>
        <v>0.68103448275862066</v>
      </c>
      <c r="AN71" s="6">
        <f>158/$AN$3</f>
        <v>0.68103448275862066</v>
      </c>
      <c r="AP71">
        <v>121</v>
      </c>
      <c r="AQ71" s="6">
        <f>AP71/AP76</f>
        <v>0.65053763440860213</v>
      </c>
      <c r="AR71" s="6">
        <f>121/$AR$3</f>
        <v>0.65053763440860213</v>
      </c>
      <c r="AT71">
        <v>78</v>
      </c>
      <c r="AU71" s="6">
        <f>AT71/AT76</f>
        <v>0.62903225806451613</v>
      </c>
      <c r="AV71" s="6">
        <f>78/$AV$3</f>
        <v>0.62903225806451613</v>
      </c>
      <c r="AX71">
        <v>270</v>
      </c>
      <c r="AY71" s="6">
        <f>AX71/AX76</f>
        <v>0.62790697674418605</v>
      </c>
      <c r="AZ71" s="6">
        <f>270/$AZ$3</f>
        <v>0.62790697674418605</v>
      </c>
      <c r="BB71">
        <v>292</v>
      </c>
      <c r="BC71" s="6">
        <f>BB71/BB76</f>
        <v>0.68224299065420557</v>
      </c>
      <c r="BD71" s="6">
        <f>292/$BD$3</f>
        <v>0.68224299065420557</v>
      </c>
      <c r="BF71">
        <v>156</v>
      </c>
      <c r="BG71" s="6">
        <f>BF71/BF76</f>
        <v>0.64462809917355368</v>
      </c>
      <c r="BH71" s="6">
        <f>156/$BH$3</f>
        <v>0.64462809917355368</v>
      </c>
      <c r="BJ71">
        <v>263</v>
      </c>
      <c r="BK71" s="6">
        <f>BJ71/BJ76</f>
        <v>0.65260545905707201</v>
      </c>
      <c r="BL71" s="6">
        <f>263/$BL$3</f>
        <v>0.65260545905707201</v>
      </c>
      <c r="BN71">
        <v>273</v>
      </c>
      <c r="BO71" s="6">
        <f>BN71/BN76</f>
        <v>0.64539007092198586</v>
      </c>
      <c r="BP71" s="6">
        <f>273/$BP$3</f>
        <v>0.64539007092198586</v>
      </c>
      <c r="BR71">
        <v>182</v>
      </c>
      <c r="BS71" s="6">
        <f>BR71/BR76</f>
        <v>0.66423357664233573</v>
      </c>
      <c r="BT71" s="6">
        <f>182/$BT$3</f>
        <v>0.66423357664233573</v>
      </c>
      <c r="BV71">
        <v>225</v>
      </c>
      <c r="BW71" s="6">
        <f>BV71/BV76</f>
        <v>0.73770491803278693</v>
      </c>
      <c r="BX71" s="9">
        <f>225/$BX$3</f>
        <v>0.73770491803278693</v>
      </c>
      <c r="BY71" s="7"/>
      <c r="BZ71">
        <v>145</v>
      </c>
      <c r="CA71" s="6">
        <f>BZ71/BZ76</f>
        <v>0.6473214285714286</v>
      </c>
      <c r="CB71" s="6">
        <f>145/$CB$3</f>
        <v>0.6473214285714286</v>
      </c>
      <c r="CD71">
        <v>151</v>
      </c>
      <c r="CE71" s="6">
        <f>CD71/CD76</f>
        <v>0.62655601659751037</v>
      </c>
      <c r="CF71" s="6">
        <f>151/$CF$3</f>
        <v>0.62655601659751037</v>
      </c>
      <c r="CH71">
        <v>197</v>
      </c>
      <c r="CI71" s="6">
        <f>CH71/CH76</f>
        <v>0.59696969696969693</v>
      </c>
      <c r="CJ71" s="8">
        <f>197/$CJ$3</f>
        <v>0.59696969696969693</v>
      </c>
    </row>
    <row r="72" spans="1:89" x14ac:dyDescent="0.35">
      <c r="A72" s="1" t="s">
        <v>458</v>
      </c>
      <c r="B72">
        <v>585</v>
      </c>
      <c r="C72" s="6">
        <f>B72/B76</f>
        <v>0.53181818181818186</v>
      </c>
      <c r="D72" s="6">
        <f>585/$D$3</f>
        <v>0.53181818181818186</v>
      </c>
      <c r="F72">
        <v>447</v>
      </c>
      <c r="G72" s="6">
        <f>F72/F76</f>
        <v>0.49066959385290887</v>
      </c>
      <c r="H72" s="6">
        <f>447/$H$3</f>
        <v>0.49066959385290887</v>
      </c>
      <c r="J72">
        <v>0</v>
      </c>
      <c r="K72" s="6">
        <f>J72/J76</f>
        <v>0</v>
      </c>
      <c r="L72" s="8">
        <f>0/$L$3</f>
        <v>0</v>
      </c>
      <c r="N72">
        <v>0</v>
      </c>
      <c r="O72" s="6">
        <f>N72/N76</f>
        <v>0</v>
      </c>
      <c r="P72" s="8">
        <f>0/$P$3</f>
        <v>0</v>
      </c>
      <c r="R72">
        <v>274</v>
      </c>
      <c r="S72" s="6">
        <f>R72/R76</f>
        <v>0.48928571428571427</v>
      </c>
      <c r="T72" s="6">
        <f>274/$T$3</f>
        <v>0.48928571428571427</v>
      </c>
      <c r="V72">
        <v>311</v>
      </c>
      <c r="W72" s="6">
        <f>V72/V76</f>
        <v>0.57592592592592595</v>
      </c>
      <c r="X72" s="6">
        <f>311/$X$3</f>
        <v>0.57592592592592595</v>
      </c>
      <c r="Z72">
        <v>47</v>
      </c>
      <c r="AA72" s="6">
        <f>Z72/Z76</f>
        <v>0.41592920353982299</v>
      </c>
      <c r="AB72" s="8">
        <f>47/$AB$3</f>
        <v>0.41592920353982299</v>
      </c>
      <c r="AD72">
        <v>106</v>
      </c>
      <c r="AE72" s="6">
        <f>AD72/AD76</f>
        <v>0.53535353535353536</v>
      </c>
      <c r="AF72" s="6">
        <f>106/$AF$3</f>
        <v>0.53535353535353536</v>
      </c>
      <c r="AH72">
        <v>143</v>
      </c>
      <c r="AI72" s="6">
        <f>AH72/AH76</f>
        <v>0.57894736842105265</v>
      </c>
      <c r="AJ72" s="6">
        <f>143/$AJ$3</f>
        <v>0.57894736842105265</v>
      </c>
      <c r="AK72" s="7"/>
      <c r="AL72">
        <v>111</v>
      </c>
      <c r="AM72" s="6">
        <f>AL72/AL76</f>
        <v>0.47844827586206895</v>
      </c>
      <c r="AN72" s="6">
        <f>111/$AN$3</f>
        <v>0.47844827586206895</v>
      </c>
      <c r="AP72">
        <v>100</v>
      </c>
      <c r="AQ72" s="6">
        <f>AP72/AP76</f>
        <v>0.5376344086021505</v>
      </c>
      <c r="AR72" s="6">
        <f>100/$AR$3</f>
        <v>0.5376344086021505</v>
      </c>
      <c r="AT72">
        <v>78</v>
      </c>
      <c r="AU72" s="6">
        <f>AT72/AT76</f>
        <v>0.62903225806451613</v>
      </c>
      <c r="AV72" s="9">
        <f>78/$AV$3</f>
        <v>0.62903225806451613</v>
      </c>
      <c r="AW72" s="7"/>
      <c r="AX72">
        <v>216</v>
      </c>
      <c r="AY72" s="6">
        <f>AX72/AX76</f>
        <v>0.50232558139534889</v>
      </c>
      <c r="AZ72" s="6">
        <f>216/$AZ$3</f>
        <v>0.50232558139534889</v>
      </c>
      <c r="BB72">
        <v>226</v>
      </c>
      <c r="BC72" s="6">
        <f>BB72/BB76</f>
        <v>0.5280373831775701</v>
      </c>
      <c r="BD72" s="6">
        <f>226/$BD$3</f>
        <v>0.5280373831775701</v>
      </c>
      <c r="BF72">
        <v>143</v>
      </c>
      <c r="BG72" s="6">
        <f>BF72/BF76</f>
        <v>0.59090909090909094</v>
      </c>
      <c r="BH72" s="9">
        <f>143/$BH$3</f>
        <v>0.59090909090909094</v>
      </c>
      <c r="BJ72">
        <v>218</v>
      </c>
      <c r="BK72" s="6">
        <f>BJ72/BJ76</f>
        <v>0.54094292803970223</v>
      </c>
      <c r="BL72" s="6">
        <f>218/$BL$3</f>
        <v>0.54094292803970223</v>
      </c>
      <c r="BN72">
        <v>228</v>
      </c>
      <c r="BO72" s="6">
        <f>BN72/BN76</f>
        <v>0.53900709219858156</v>
      </c>
      <c r="BP72" s="6">
        <f>228/$BP$3</f>
        <v>0.53900709219858156</v>
      </c>
      <c r="BR72">
        <v>139</v>
      </c>
      <c r="BS72" s="6">
        <f>BR72/BR76</f>
        <v>0.50729927007299269</v>
      </c>
      <c r="BT72" s="6">
        <f>139/$BT$3</f>
        <v>0.50729927007299269</v>
      </c>
      <c r="BV72">
        <v>156</v>
      </c>
      <c r="BW72" s="6">
        <f>BV72/BV76</f>
        <v>0.51147540983606554</v>
      </c>
      <c r="BX72" s="6">
        <f>156/$BX$3</f>
        <v>0.51147540983606554</v>
      </c>
      <c r="BZ72">
        <v>103</v>
      </c>
      <c r="CA72" s="6">
        <f>BZ72/BZ76</f>
        <v>0.45982142857142855</v>
      </c>
      <c r="CB72" s="8">
        <f>103/$CB$3</f>
        <v>0.45982142857142855</v>
      </c>
      <c r="CD72">
        <v>136</v>
      </c>
      <c r="CE72" s="6">
        <f>CD72/CD76</f>
        <v>0.56431535269709543</v>
      </c>
      <c r="CF72" s="6">
        <f>136/$CF$3</f>
        <v>0.56431535269709543</v>
      </c>
      <c r="CH72">
        <v>190</v>
      </c>
      <c r="CI72" s="6">
        <f>CH72/CH76</f>
        <v>0.5757575757575758</v>
      </c>
      <c r="CJ72" s="6">
        <f>190/$CJ$3</f>
        <v>0.5757575757575758</v>
      </c>
    </row>
    <row r="73" spans="1:89" x14ac:dyDescent="0.35">
      <c r="A73" s="1" t="s">
        <v>459</v>
      </c>
      <c r="B73">
        <v>379</v>
      </c>
      <c r="C73" s="6">
        <f>B73/B76</f>
        <v>0.34454545454545454</v>
      </c>
      <c r="D73" s="6">
        <f>379/$D$3</f>
        <v>0.34454545454545454</v>
      </c>
      <c r="F73">
        <v>257</v>
      </c>
      <c r="G73" s="6">
        <f>F73/F76</f>
        <v>0.28210757409440174</v>
      </c>
      <c r="H73" s="8">
        <f>257/$H$3</f>
        <v>0.28210757409440174</v>
      </c>
      <c r="J73">
        <v>104</v>
      </c>
      <c r="K73" s="6">
        <f>J73/J76</f>
        <v>0.23963133640552994</v>
      </c>
      <c r="L73" s="8">
        <f>104/$L$3</f>
        <v>0.23963133640552994</v>
      </c>
      <c r="N73">
        <v>26</v>
      </c>
      <c r="O73" s="6">
        <f>N73/N76</f>
        <v>0.32098765432098764</v>
      </c>
      <c r="P73" s="6">
        <f>26/$P$3</f>
        <v>0.32098765432098764</v>
      </c>
      <c r="R73">
        <v>200</v>
      </c>
      <c r="S73" s="6">
        <f>R73/R76</f>
        <v>0.35714285714285715</v>
      </c>
      <c r="T73" s="6">
        <f>200/$T$3</f>
        <v>0.35714285714285715</v>
      </c>
      <c r="V73">
        <v>179</v>
      </c>
      <c r="W73" s="6">
        <f>V73/V76</f>
        <v>0.33148148148148149</v>
      </c>
      <c r="X73" s="6">
        <f>179/$X$3</f>
        <v>0.33148148148148149</v>
      </c>
      <c r="Z73">
        <v>11</v>
      </c>
      <c r="AA73" s="6">
        <f>Z73/Z76</f>
        <v>9.7345132743362831E-2</v>
      </c>
      <c r="AB73" s="8">
        <f>11/$AB$3</f>
        <v>9.7345132743362831E-2</v>
      </c>
      <c r="AD73">
        <v>42</v>
      </c>
      <c r="AE73" s="6">
        <f>AD73/AD76</f>
        <v>0.21212121212121213</v>
      </c>
      <c r="AF73" s="8">
        <f>42/$AF$3</f>
        <v>0.21212121212121213</v>
      </c>
      <c r="AG73" s="7"/>
      <c r="AH73">
        <v>65</v>
      </c>
      <c r="AI73" s="6">
        <f>AH73/AH76</f>
        <v>0.26315789473684209</v>
      </c>
      <c r="AJ73" s="8">
        <f>65/$AJ$3</f>
        <v>0.26315789473684209</v>
      </c>
      <c r="AK73" s="7"/>
      <c r="AL73">
        <v>82</v>
      </c>
      <c r="AM73" s="6">
        <f>AL73/AL76</f>
        <v>0.35344827586206895</v>
      </c>
      <c r="AN73" s="6">
        <f>82/$AN$3</f>
        <v>0.35344827586206895</v>
      </c>
      <c r="AO73" s="7"/>
      <c r="AP73">
        <v>98</v>
      </c>
      <c r="AQ73" s="6">
        <f>AP73/AP76</f>
        <v>0.5268817204301075</v>
      </c>
      <c r="AR73" s="9">
        <f>98/$AR$3</f>
        <v>0.5268817204301075</v>
      </c>
      <c r="AS73" s="7"/>
      <c r="AT73">
        <v>81</v>
      </c>
      <c r="AU73" s="6">
        <f>AT73/AT76</f>
        <v>0.65322580645161288</v>
      </c>
      <c r="AV73" s="9">
        <f>81/$AV$3</f>
        <v>0.65322580645161288</v>
      </c>
      <c r="AW73" s="7"/>
      <c r="AX73">
        <v>161</v>
      </c>
      <c r="AY73" s="6">
        <f>AX73/AX76</f>
        <v>0.37441860465116278</v>
      </c>
      <c r="AZ73" s="6">
        <f>161/$AZ$3</f>
        <v>0.37441860465116278</v>
      </c>
      <c r="BB73">
        <v>137</v>
      </c>
      <c r="BC73" s="6">
        <f>BB73/BB76</f>
        <v>0.32009345794392524</v>
      </c>
      <c r="BD73" s="6">
        <f>137/$BD$3</f>
        <v>0.32009345794392524</v>
      </c>
      <c r="BF73">
        <v>81</v>
      </c>
      <c r="BG73" s="6">
        <f>BF73/BF76</f>
        <v>0.33471074380165289</v>
      </c>
      <c r="BH73" s="6">
        <f>81/$BH$3</f>
        <v>0.33471074380165289</v>
      </c>
      <c r="BJ73">
        <v>140</v>
      </c>
      <c r="BK73" s="6">
        <f>BJ73/BJ76</f>
        <v>0.34739454094292804</v>
      </c>
      <c r="BL73" s="6">
        <f>140/$BL$3</f>
        <v>0.34739454094292804</v>
      </c>
      <c r="BN73">
        <v>148</v>
      </c>
      <c r="BO73" s="6">
        <f>BN73/BN76</f>
        <v>0.34988179669030733</v>
      </c>
      <c r="BP73" s="6">
        <f>148/$BP$3</f>
        <v>0.34988179669030733</v>
      </c>
      <c r="BR73">
        <v>91</v>
      </c>
      <c r="BS73" s="6">
        <f>BR73/BR76</f>
        <v>0.33211678832116787</v>
      </c>
      <c r="BT73" s="6">
        <f>91/$BT$3</f>
        <v>0.33211678832116787</v>
      </c>
      <c r="BV73">
        <v>113</v>
      </c>
      <c r="BW73" s="6">
        <f>BV73/BV76</f>
        <v>0.37049180327868853</v>
      </c>
      <c r="BX73" s="6">
        <f>113/$BX$3</f>
        <v>0.37049180327868853</v>
      </c>
      <c r="BZ73">
        <v>73</v>
      </c>
      <c r="CA73" s="6">
        <f>BZ73/BZ76</f>
        <v>0.32589285714285715</v>
      </c>
      <c r="CB73" s="6">
        <f>73/$CB$3</f>
        <v>0.32589285714285715</v>
      </c>
      <c r="CD73">
        <v>85</v>
      </c>
      <c r="CE73" s="6">
        <f>CD73/CD76</f>
        <v>0.35269709543568467</v>
      </c>
      <c r="CF73" s="6">
        <f>85/$CF$3</f>
        <v>0.35269709543568467</v>
      </c>
      <c r="CH73">
        <v>108</v>
      </c>
      <c r="CI73" s="6">
        <f>CH73/CH76</f>
        <v>0.32727272727272727</v>
      </c>
      <c r="CJ73" s="6">
        <f>108/$CJ$3</f>
        <v>0.32727272727272727</v>
      </c>
    </row>
    <row r="75" spans="1:89" x14ac:dyDescent="0.35">
      <c r="A75" s="1" t="s">
        <v>409</v>
      </c>
      <c r="B75">
        <v>0</v>
      </c>
      <c r="C75" s="6">
        <f>B75/B76</f>
        <v>0</v>
      </c>
      <c r="D75" s="6">
        <f>0/$D$3</f>
        <v>0</v>
      </c>
      <c r="F75">
        <v>0</v>
      </c>
      <c r="G75" s="6">
        <f>F75/F76</f>
        <v>0</v>
      </c>
      <c r="H75" s="6">
        <f>0/$H$3</f>
        <v>0</v>
      </c>
      <c r="J75">
        <v>0</v>
      </c>
      <c r="K75" s="6">
        <f>J75/J76</f>
        <v>0</v>
      </c>
      <c r="L75" s="6">
        <f>0/$L$3</f>
        <v>0</v>
      </c>
      <c r="N75">
        <v>0</v>
      </c>
      <c r="O75" s="6">
        <f>N75/N76</f>
        <v>0</v>
      </c>
      <c r="P75" s="6">
        <f>0/$P$3</f>
        <v>0</v>
      </c>
      <c r="R75">
        <v>0</v>
      </c>
      <c r="S75" s="6">
        <f>R75/R76</f>
        <v>0</v>
      </c>
      <c r="T75" s="6">
        <f>0/$T$3</f>
        <v>0</v>
      </c>
      <c r="V75">
        <v>0</v>
      </c>
      <c r="W75" s="6">
        <f>V75/V76</f>
        <v>0</v>
      </c>
      <c r="X75" s="6">
        <f>0/$X$3</f>
        <v>0</v>
      </c>
      <c r="Z75">
        <v>0</v>
      </c>
      <c r="AA75" s="6">
        <f>Z75/Z76</f>
        <v>0</v>
      </c>
      <c r="AB75" s="6">
        <f>0/$AB$3</f>
        <v>0</v>
      </c>
      <c r="AD75">
        <v>0</v>
      </c>
      <c r="AE75" s="6">
        <f>AD75/AD76</f>
        <v>0</v>
      </c>
      <c r="AF75" s="6">
        <f>0/$AF$3</f>
        <v>0</v>
      </c>
      <c r="AH75">
        <v>0</v>
      </c>
      <c r="AI75" s="6">
        <f>AH75/AH76</f>
        <v>0</v>
      </c>
      <c r="AJ75" s="6">
        <f>0/$AJ$3</f>
        <v>0</v>
      </c>
      <c r="AL75">
        <v>0</v>
      </c>
      <c r="AM75" s="6">
        <f>AL75/AL76</f>
        <v>0</v>
      </c>
      <c r="AN75" s="6">
        <f>0/$AN$3</f>
        <v>0</v>
      </c>
      <c r="AP75">
        <v>0</v>
      </c>
      <c r="AQ75" s="6">
        <f>AP75/AP76</f>
        <v>0</v>
      </c>
      <c r="AR75" s="6">
        <f>0/$AR$3</f>
        <v>0</v>
      </c>
      <c r="AT75">
        <v>0</v>
      </c>
      <c r="AU75" s="6">
        <f>AT75/AT76</f>
        <v>0</v>
      </c>
      <c r="AV75" s="6">
        <f>0/$AV$3</f>
        <v>0</v>
      </c>
      <c r="AX75">
        <v>0</v>
      </c>
      <c r="AY75" s="6">
        <f>AX75/AX76</f>
        <v>0</v>
      </c>
      <c r="AZ75" s="6">
        <f>0/$AZ$3</f>
        <v>0</v>
      </c>
      <c r="BB75">
        <v>0</v>
      </c>
      <c r="BC75" s="6">
        <f>BB75/BB76</f>
        <v>0</v>
      </c>
      <c r="BD75" s="6">
        <f>0/$BD$3</f>
        <v>0</v>
      </c>
      <c r="BF75">
        <v>0</v>
      </c>
      <c r="BG75" s="6">
        <f>BF75/BF76</f>
        <v>0</v>
      </c>
      <c r="BH75" s="6">
        <f>0/$BH$3</f>
        <v>0</v>
      </c>
      <c r="BJ75">
        <v>0</v>
      </c>
      <c r="BK75" s="6">
        <f>BJ75/BJ76</f>
        <v>0</v>
      </c>
      <c r="BL75" s="6">
        <f>0/$BL$3</f>
        <v>0</v>
      </c>
      <c r="BN75">
        <v>0</v>
      </c>
      <c r="BO75" s="6">
        <f>BN75/BN76</f>
        <v>0</v>
      </c>
      <c r="BP75" s="6">
        <f>0/$BP$3</f>
        <v>0</v>
      </c>
      <c r="BR75">
        <v>0</v>
      </c>
      <c r="BS75" s="6">
        <f>BR75/BR76</f>
        <v>0</v>
      </c>
      <c r="BT75" s="6">
        <f>0/$BT$3</f>
        <v>0</v>
      </c>
      <c r="BV75">
        <v>0</v>
      </c>
      <c r="BW75" s="6">
        <f>BV75/BV76</f>
        <v>0</v>
      </c>
      <c r="BX75" s="6">
        <f>0/$BX$3</f>
        <v>0</v>
      </c>
      <c r="BZ75">
        <v>0</v>
      </c>
      <c r="CA75" s="6">
        <f>BZ75/BZ76</f>
        <v>0</v>
      </c>
      <c r="CB75" s="6">
        <f>0/$CB$3</f>
        <v>0</v>
      </c>
      <c r="CD75">
        <v>0</v>
      </c>
      <c r="CE75" s="6">
        <f>CD75/CD76</f>
        <v>0</v>
      </c>
      <c r="CF75" s="6">
        <f>0/$CF$3</f>
        <v>0</v>
      </c>
      <c r="CH75">
        <v>0</v>
      </c>
      <c r="CI75" s="6">
        <f>CH75/CH76</f>
        <v>0</v>
      </c>
      <c r="CJ75" s="6">
        <f>0/$CJ$3</f>
        <v>0</v>
      </c>
    </row>
    <row r="76" spans="1:89" s="10" customFormat="1" x14ac:dyDescent="0.35">
      <c r="A76" s="11" t="s">
        <v>411</v>
      </c>
      <c r="B76" s="10">
        <v>1100</v>
      </c>
      <c r="F76" s="10">
        <v>911</v>
      </c>
      <c r="J76" s="10">
        <v>434</v>
      </c>
      <c r="N76" s="10">
        <v>81</v>
      </c>
      <c r="R76" s="10">
        <v>560</v>
      </c>
      <c r="V76" s="10">
        <v>540</v>
      </c>
      <c r="Z76" s="10">
        <v>113</v>
      </c>
      <c r="AD76" s="10">
        <v>198</v>
      </c>
      <c r="AH76" s="10">
        <v>247</v>
      </c>
      <c r="AL76" s="10">
        <v>232</v>
      </c>
      <c r="AP76" s="10">
        <v>186</v>
      </c>
      <c r="AT76" s="10">
        <v>124</v>
      </c>
      <c r="AX76" s="10">
        <v>430</v>
      </c>
      <c r="BB76" s="10">
        <v>428</v>
      </c>
      <c r="BF76" s="10">
        <v>242</v>
      </c>
      <c r="BJ76" s="10">
        <v>403</v>
      </c>
      <c r="BN76" s="10">
        <v>423</v>
      </c>
      <c r="BR76" s="10">
        <v>274</v>
      </c>
      <c r="BV76" s="10">
        <v>305</v>
      </c>
      <c r="BZ76" s="10">
        <v>224</v>
      </c>
      <c r="CD76" s="10">
        <v>241</v>
      </c>
      <c r="CH76" s="10">
        <v>330</v>
      </c>
    </row>
    <row r="77" spans="1:89" hidden="1" x14ac:dyDescent="0.35">
      <c r="A77" s="12" t="s">
        <v>412</v>
      </c>
      <c r="B77">
        <v>0</v>
      </c>
      <c r="F77">
        <v>0</v>
      </c>
      <c r="J77">
        <v>0</v>
      </c>
      <c r="N77">
        <v>0</v>
      </c>
      <c r="R77">
        <v>0</v>
      </c>
      <c r="V77">
        <v>0</v>
      </c>
      <c r="Z77">
        <v>0</v>
      </c>
      <c r="AD77">
        <v>0</v>
      </c>
      <c r="AH77">
        <v>0</v>
      </c>
      <c r="AL77">
        <v>0</v>
      </c>
      <c r="AP77">
        <v>0</v>
      </c>
      <c r="AT77">
        <v>0</v>
      </c>
      <c r="AX77">
        <v>0</v>
      </c>
      <c r="BB77">
        <v>0</v>
      </c>
      <c r="BF77">
        <v>0</v>
      </c>
      <c r="BJ77">
        <v>0</v>
      </c>
      <c r="BN77">
        <v>0</v>
      </c>
      <c r="BR77">
        <v>0</v>
      </c>
      <c r="BV77">
        <v>0</v>
      </c>
      <c r="BZ77">
        <v>0</v>
      </c>
      <c r="CD77">
        <v>0</v>
      </c>
      <c r="CH77">
        <v>0</v>
      </c>
    </row>
    <row r="78" spans="1:89" hidden="1" x14ac:dyDescent="0.35">
      <c r="A78" s="12" t="s">
        <v>413</v>
      </c>
      <c r="B78">
        <v>0</v>
      </c>
      <c r="F78">
        <v>0</v>
      </c>
      <c r="J78">
        <v>0</v>
      </c>
      <c r="N78">
        <v>0</v>
      </c>
      <c r="R78">
        <v>0</v>
      </c>
      <c r="V78">
        <v>0</v>
      </c>
      <c r="Z78">
        <v>0</v>
      </c>
      <c r="AD78">
        <v>0</v>
      </c>
      <c r="AH78">
        <v>0</v>
      </c>
      <c r="AL78">
        <v>0</v>
      </c>
      <c r="AP78">
        <v>0</v>
      </c>
      <c r="AT78">
        <v>0</v>
      </c>
      <c r="AX78">
        <v>0</v>
      </c>
      <c r="BB78">
        <v>0</v>
      </c>
      <c r="BF78">
        <v>0</v>
      </c>
      <c r="BJ78">
        <v>0</v>
      </c>
      <c r="BN78">
        <v>0</v>
      </c>
      <c r="BR78">
        <v>0</v>
      </c>
      <c r="BV78">
        <v>0</v>
      </c>
      <c r="BZ78">
        <v>0</v>
      </c>
      <c r="CD78">
        <v>0</v>
      </c>
      <c r="CH78">
        <v>0</v>
      </c>
    </row>
    <row r="80" spans="1:89" x14ac:dyDescent="0.35">
      <c r="AB80" s="2" t="s">
        <v>3</v>
      </c>
      <c r="AF80" s="2" t="s">
        <v>4</v>
      </c>
      <c r="AJ80" s="2" t="s">
        <v>5</v>
      </c>
      <c r="AN80" s="2" t="s">
        <v>6</v>
      </c>
      <c r="AR80" s="2" t="s">
        <v>7</v>
      </c>
      <c r="AV80" s="2" t="s">
        <v>8</v>
      </c>
      <c r="AZ80" s="2" t="s">
        <v>3</v>
      </c>
      <c r="BD80" s="2" t="s">
        <v>4</v>
      </c>
      <c r="BH80" s="2" t="s">
        <v>5</v>
      </c>
      <c r="BL80" s="2" t="s">
        <v>3</v>
      </c>
      <c r="BP80" s="2" t="s">
        <v>4</v>
      </c>
      <c r="BT80" s="2" t="s">
        <v>5</v>
      </c>
      <c r="BX80" s="2" t="s">
        <v>3</v>
      </c>
      <c r="CB80" s="2" t="s">
        <v>4</v>
      </c>
      <c r="CF80" s="2" t="s">
        <v>5</v>
      </c>
      <c r="CJ80" s="2" t="s">
        <v>6</v>
      </c>
    </row>
    <row r="81" spans="1:88" s="3" customFormat="1" x14ac:dyDescent="0.35">
      <c r="A81" s="3" t="s">
        <v>460</v>
      </c>
      <c r="D81" s="5" t="s">
        <v>406</v>
      </c>
      <c r="H81" s="5" t="s">
        <v>406</v>
      </c>
      <c r="L81" s="5" t="s">
        <v>406</v>
      </c>
      <c r="P81" s="5" t="s">
        <v>406</v>
      </c>
      <c r="T81" s="5" t="s">
        <v>406</v>
      </c>
      <c r="X81" s="5" t="s">
        <v>406</v>
      </c>
      <c r="AB81" s="5" t="s">
        <v>406</v>
      </c>
      <c r="AF81" s="5" t="s">
        <v>406</v>
      </c>
      <c r="AJ81" s="5" t="s">
        <v>406</v>
      </c>
      <c r="AN81" s="5" t="s">
        <v>406</v>
      </c>
      <c r="AR81" s="5" t="s">
        <v>406</v>
      </c>
      <c r="AV81" s="5" t="s">
        <v>406</v>
      </c>
      <c r="AZ81" s="5" t="s">
        <v>406</v>
      </c>
      <c r="BD81" s="5" t="s">
        <v>406</v>
      </c>
      <c r="BH81" s="5" t="s">
        <v>406</v>
      </c>
      <c r="BL81" s="5" t="s">
        <v>406</v>
      </c>
      <c r="BP81" s="5" t="s">
        <v>406</v>
      </c>
      <c r="BT81" s="5" t="s">
        <v>406</v>
      </c>
      <c r="BX81" s="5" t="s">
        <v>406</v>
      </c>
      <c r="CB81" s="5" t="s">
        <v>406</v>
      </c>
      <c r="CF81" s="5" t="s">
        <v>406</v>
      </c>
      <c r="CJ81" s="5" t="s">
        <v>406</v>
      </c>
    </row>
    <row r="82" spans="1:88" x14ac:dyDescent="0.35">
      <c r="A82" s="1" t="s">
        <v>461</v>
      </c>
      <c r="B82">
        <v>1100</v>
      </c>
      <c r="C82" s="6">
        <f>B82/B84</f>
        <v>1</v>
      </c>
      <c r="D82" s="6">
        <f>1100/$D$3</f>
        <v>1</v>
      </c>
      <c r="F82">
        <v>911</v>
      </c>
      <c r="G82" s="6">
        <f>F82/F84</f>
        <v>1</v>
      </c>
      <c r="H82" s="6">
        <f>911/$H$3</f>
        <v>1</v>
      </c>
      <c r="J82">
        <v>434</v>
      </c>
      <c r="K82" s="6">
        <f>J82/J84</f>
        <v>1</v>
      </c>
      <c r="L82" s="6">
        <f>434/$L$3</f>
        <v>1</v>
      </c>
      <c r="N82">
        <v>81</v>
      </c>
      <c r="O82" s="6">
        <f>N82/N84</f>
        <v>1</v>
      </c>
      <c r="P82" s="6">
        <f>81/$P$3</f>
        <v>1</v>
      </c>
      <c r="R82">
        <v>560</v>
      </c>
      <c r="S82" s="6">
        <f>R82/R84</f>
        <v>1</v>
      </c>
      <c r="T82" s="6">
        <f>560/$T$3</f>
        <v>1</v>
      </c>
      <c r="V82">
        <v>540</v>
      </c>
      <c r="W82" s="6">
        <f>V82/V84</f>
        <v>1</v>
      </c>
      <c r="X82" s="6">
        <f>540/$X$3</f>
        <v>1</v>
      </c>
      <c r="Z82">
        <v>113</v>
      </c>
      <c r="AA82" s="6">
        <f>Z82/Z84</f>
        <v>1</v>
      </c>
      <c r="AB82" s="6">
        <f>113/$AB$3</f>
        <v>1</v>
      </c>
      <c r="AD82">
        <v>198</v>
      </c>
      <c r="AE82" s="6">
        <f>AD82/AD84</f>
        <v>1</v>
      </c>
      <c r="AF82" s="6">
        <f>198/$AF$3</f>
        <v>1</v>
      </c>
      <c r="AH82">
        <v>247</v>
      </c>
      <c r="AI82" s="6">
        <f>AH82/AH84</f>
        <v>1</v>
      </c>
      <c r="AJ82" s="6">
        <f>247/$AJ$3</f>
        <v>1</v>
      </c>
      <c r="AL82">
        <v>232</v>
      </c>
      <c r="AM82" s="6">
        <f>AL82/AL84</f>
        <v>1</v>
      </c>
      <c r="AN82" s="6">
        <f>232/$AN$3</f>
        <v>1</v>
      </c>
      <c r="AP82">
        <v>186</v>
      </c>
      <c r="AQ82" s="6">
        <f>AP82/AP84</f>
        <v>1</v>
      </c>
      <c r="AR82" s="6">
        <f>186/$AR$3</f>
        <v>1</v>
      </c>
      <c r="AT82">
        <v>124</v>
      </c>
      <c r="AU82" s="6">
        <f>AT82/AT84</f>
        <v>1</v>
      </c>
      <c r="AV82" s="6">
        <f>124/$AV$3</f>
        <v>1</v>
      </c>
      <c r="AX82">
        <v>430</v>
      </c>
      <c r="AY82" s="6">
        <f>AX82/AX84</f>
        <v>1</v>
      </c>
      <c r="AZ82" s="6">
        <f>430/$AZ$3</f>
        <v>1</v>
      </c>
      <c r="BB82">
        <v>428</v>
      </c>
      <c r="BC82" s="6">
        <f>BB82/BB84</f>
        <v>1</v>
      </c>
      <c r="BD82" s="6">
        <f>428/$BD$3</f>
        <v>1</v>
      </c>
      <c r="BF82">
        <v>242</v>
      </c>
      <c r="BG82" s="6">
        <f>BF82/BF84</f>
        <v>1</v>
      </c>
      <c r="BH82" s="6">
        <f>242/$BH$3</f>
        <v>1</v>
      </c>
      <c r="BJ82">
        <v>403</v>
      </c>
      <c r="BK82" s="6">
        <f>BJ82/BJ84</f>
        <v>1</v>
      </c>
      <c r="BL82" s="6">
        <f>403/$BL$3</f>
        <v>1</v>
      </c>
      <c r="BN82">
        <v>423</v>
      </c>
      <c r="BO82" s="6">
        <f>BN82/BN84</f>
        <v>1</v>
      </c>
      <c r="BP82" s="6">
        <f>423/$BP$3</f>
        <v>1</v>
      </c>
      <c r="BR82">
        <v>274</v>
      </c>
      <c r="BS82" s="6">
        <f>BR82/BR84</f>
        <v>1</v>
      </c>
      <c r="BT82" s="6">
        <f>274/$BT$3</f>
        <v>1</v>
      </c>
      <c r="BV82">
        <v>305</v>
      </c>
      <c r="BW82" s="6">
        <f>BV82/BV84</f>
        <v>1</v>
      </c>
      <c r="BX82" s="6">
        <f>305/$BX$3</f>
        <v>1</v>
      </c>
      <c r="BZ82">
        <v>224</v>
      </c>
      <c r="CA82" s="6">
        <f>BZ82/BZ84</f>
        <v>1</v>
      </c>
      <c r="CB82" s="6">
        <f>224/$CB$3</f>
        <v>1</v>
      </c>
      <c r="CD82">
        <v>241</v>
      </c>
      <c r="CE82" s="6">
        <f>CD82/CD84</f>
        <v>1</v>
      </c>
      <c r="CF82" s="6">
        <f>241/$CF$3</f>
        <v>1</v>
      </c>
      <c r="CH82">
        <v>330</v>
      </c>
      <c r="CI82" s="6">
        <f>CH82/CH84</f>
        <v>1</v>
      </c>
      <c r="CJ82" s="6">
        <f>330/$CJ$3</f>
        <v>1</v>
      </c>
    </row>
    <row r="83" spans="1:88" x14ac:dyDescent="0.35">
      <c r="A83" s="1" t="s">
        <v>409</v>
      </c>
      <c r="B83">
        <v>0</v>
      </c>
      <c r="C83" s="6">
        <f>B83/B84</f>
        <v>0</v>
      </c>
      <c r="D83" s="6">
        <f>0/$D$3</f>
        <v>0</v>
      </c>
      <c r="F83">
        <v>0</v>
      </c>
      <c r="G83" s="6">
        <f>F83/F84</f>
        <v>0</v>
      </c>
      <c r="H83" s="6">
        <f>0/$H$3</f>
        <v>0</v>
      </c>
      <c r="J83">
        <v>0</v>
      </c>
      <c r="K83" s="6">
        <f>J83/J84</f>
        <v>0</v>
      </c>
      <c r="L83" s="6">
        <f>0/$L$3</f>
        <v>0</v>
      </c>
      <c r="N83">
        <v>0</v>
      </c>
      <c r="O83" s="6">
        <f>N83/N84</f>
        <v>0</v>
      </c>
      <c r="P83" s="6">
        <f>0/$P$3</f>
        <v>0</v>
      </c>
      <c r="R83">
        <v>0</v>
      </c>
      <c r="S83" s="6">
        <f>R83/R84</f>
        <v>0</v>
      </c>
      <c r="T83" s="6">
        <f>0/$T$3</f>
        <v>0</v>
      </c>
      <c r="V83">
        <v>0</v>
      </c>
      <c r="W83" s="6">
        <f>V83/V84</f>
        <v>0</v>
      </c>
      <c r="X83" s="6">
        <f>0/$X$3</f>
        <v>0</v>
      </c>
      <c r="Z83">
        <v>0</v>
      </c>
      <c r="AA83" s="6">
        <f>Z83/Z84</f>
        <v>0</v>
      </c>
      <c r="AB83" s="6">
        <f>0/$AB$3</f>
        <v>0</v>
      </c>
      <c r="AD83">
        <v>0</v>
      </c>
      <c r="AE83" s="6">
        <f>AD83/AD84</f>
        <v>0</v>
      </c>
      <c r="AF83" s="6">
        <f>0/$AF$3</f>
        <v>0</v>
      </c>
      <c r="AH83">
        <v>0</v>
      </c>
      <c r="AI83" s="6">
        <f>AH83/AH84</f>
        <v>0</v>
      </c>
      <c r="AJ83" s="6">
        <f>0/$AJ$3</f>
        <v>0</v>
      </c>
      <c r="AL83">
        <v>0</v>
      </c>
      <c r="AM83" s="6">
        <f>AL83/AL84</f>
        <v>0</v>
      </c>
      <c r="AN83" s="6">
        <f>0/$AN$3</f>
        <v>0</v>
      </c>
      <c r="AP83">
        <v>0</v>
      </c>
      <c r="AQ83" s="6">
        <f>AP83/AP84</f>
        <v>0</v>
      </c>
      <c r="AR83" s="6">
        <f>0/$AR$3</f>
        <v>0</v>
      </c>
      <c r="AT83">
        <v>0</v>
      </c>
      <c r="AU83" s="6">
        <f>AT83/AT84</f>
        <v>0</v>
      </c>
      <c r="AV83" s="6">
        <f>0/$AV$3</f>
        <v>0</v>
      </c>
      <c r="AX83">
        <v>0</v>
      </c>
      <c r="AY83" s="6">
        <f>AX83/AX84</f>
        <v>0</v>
      </c>
      <c r="AZ83" s="6">
        <f>0/$AZ$3</f>
        <v>0</v>
      </c>
      <c r="BB83">
        <v>0</v>
      </c>
      <c r="BC83" s="6">
        <f>BB83/BB84</f>
        <v>0</v>
      </c>
      <c r="BD83" s="6">
        <f>0/$BD$3</f>
        <v>0</v>
      </c>
      <c r="BF83">
        <v>0</v>
      </c>
      <c r="BG83" s="6">
        <f>BF83/BF84</f>
        <v>0</v>
      </c>
      <c r="BH83" s="6">
        <f>0/$BH$3</f>
        <v>0</v>
      </c>
      <c r="BJ83">
        <v>0</v>
      </c>
      <c r="BK83" s="6">
        <f>BJ83/BJ84</f>
        <v>0</v>
      </c>
      <c r="BL83" s="6">
        <f>0/$BL$3</f>
        <v>0</v>
      </c>
      <c r="BN83">
        <v>0</v>
      </c>
      <c r="BO83" s="6">
        <f>BN83/BN84</f>
        <v>0</v>
      </c>
      <c r="BP83" s="6">
        <f>0/$BP$3</f>
        <v>0</v>
      </c>
      <c r="BR83">
        <v>0</v>
      </c>
      <c r="BS83" s="6">
        <f>BR83/BR84</f>
        <v>0</v>
      </c>
      <c r="BT83" s="6">
        <f>0/$BT$3</f>
        <v>0</v>
      </c>
      <c r="BV83">
        <v>0</v>
      </c>
      <c r="BW83" s="6">
        <f>BV83/BV84</f>
        <v>0</v>
      </c>
      <c r="BX83" s="6">
        <f>0/$BX$3</f>
        <v>0</v>
      </c>
      <c r="BZ83">
        <v>0</v>
      </c>
      <c r="CA83" s="6">
        <f>BZ83/BZ84</f>
        <v>0</v>
      </c>
      <c r="CB83" s="6">
        <f>0/$CB$3</f>
        <v>0</v>
      </c>
      <c r="CD83">
        <v>0</v>
      </c>
      <c r="CE83" s="6">
        <f>CD83/CD84</f>
        <v>0</v>
      </c>
      <c r="CF83" s="6">
        <f>0/$CF$3</f>
        <v>0</v>
      </c>
      <c r="CH83">
        <v>0</v>
      </c>
      <c r="CI83" s="6">
        <f>CH83/CH84</f>
        <v>0</v>
      </c>
      <c r="CJ83" s="6">
        <f>0/$CJ$3</f>
        <v>0</v>
      </c>
    </row>
    <row r="84" spans="1:88" s="10" customFormat="1" x14ac:dyDescent="0.35">
      <c r="A84" s="11" t="s">
        <v>411</v>
      </c>
      <c r="B84" s="10">
        <v>1100</v>
      </c>
      <c r="F84" s="10">
        <v>911</v>
      </c>
      <c r="J84" s="10">
        <v>434</v>
      </c>
      <c r="N84" s="10">
        <v>81</v>
      </c>
      <c r="R84" s="10">
        <v>560</v>
      </c>
      <c r="V84" s="10">
        <v>540</v>
      </c>
      <c r="Z84" s="10">
        <v>113</v>
      </c>
      <c r="AD84" s="10">
        <v>198</v>
      </c>
      <c r="AH84" s="10">
        <v>247</v>
      </c>
      <c r="AL84" s="10">
        <v>232</v>
      </c>
      <c r="AP84" s="10">
        <v>186</v>
      </c>
      <c r="AT84" s="10">
        <v>124</v>
      </c>
      <c r="AX84" s="10">
        <v>430</v>
      </c>
      <c r="BB84" s="10">
        <v>428</v>
      </c>
      <c r="BF84" s="10">
        <v>242</v>
      </c>
      <c r="BJ84" s="10">
        <v>403</v>
      </c>
      <c r="BN84" s="10">
        <v>423</v>
      </c>
      <c r="BR84" s="10">
        <v>274</v>
      </c>
      <c r="BV84" s="10">
        <v>305</v>
      </c>
      <c r="BZ84" s="10">
        <v>224</v>
      </c>
      <c r="CD84" s="10">
        <v>241</v>
      </c>
      <c r="CH84" s="10">
        <v>330</v>
      </c>
    </row>
    <row r="85" spans="1:88" hidden="1" x14ac:dyDescent="0.35">
      <c r="A85" s="12" t="s">
        <v>412</v>
      </c>
      <c r="B85">
        <v>0</v>
      </c>
      <c r="F85">
        <v>0</v>
      </c>
      <c r="J85">
        <v>0</v>
      </c>
      <c r="N85">
        <v>0</v>
      </c>
      <c r="R85">
        <v>0</v>
      </c>
      <c r="V85">
        <v>0</v>
      </c>
      <c r="Z85">
        <v>0</v>
      </c>
      <c r="AD85">
        <v>0</v>
      </c>
      <c r="AH85">
        <v>0</v>
      </c>
      <c r="AL85">
        <v>0</v>
      </c>
      <c r="AP85">
        <v>0</v>
      </c>
      <c r="AT85">
        <v>0</v>
      </c>
      <c r="AX85">
        <v>0</v>
      </c>
      <c r="BB85">
        <v>0</v>
      </c>
      <c r="BF85">
        <v>0</v>
      </c>
      <c r="BJ85">
        <v>0</v>
      </c>
      <c r="BN85">
        <v>0</v>
      </c>
      <c r="BR85">
        <v>0</v>
      </c>
      <c r="BV85">
        <v>0</v>
      </c>
      <c r="BZ85">
        <v>0</v>
      </c>
      <c r="CD85">
        <v>0</v>
      </c>
      <c r="CH85">
        <v>0</v>
      </c>
    </row>
    <row r="86" spans="1:88" hidden="1" x14ac:dyDescent="0.35">
      <c r="A86" s="12" t="s">
        <v>413</v>
      </c>
      <c r="B86">
        <v>0</v>
      </c>
      <c r="F86">
        <v>0</v>
      </c>
      <c r="J86">
        <v>0</v>
      </c>
      <c r="N86">
        <v>0</v>
      </c>
      <c r="R86">
        <v>0</v>
      </c>
      <c r="V86">
        <v>0</v>
      </c>
      <c r="Z86">
        <v>0</v>
      </c>
      <c r="AD86">
        <v>0</v>
      </c>
      <c r="AH86">
        <v>0</v>
      </c>
      <c r="AL86">
        <v>0</v>
      </c>
      <c r="AP86">
        <v>0</v>
      </c>
      <c r="AT86">
        <v>0</v>
      </c>
      <c r="AX86">
        <v>0</v>
      </c>
      <c r="BB86">
        <v>0</v>
      </c>
      <c r="BF86">
        <v>0</v>
      </c>
      <c r="BJ86">
        <v>0</v>
      </c>
      <c r="BN86">
        <v>0</v>
      </c>
      <c r="BR86">
        <v>0</v>
      </c>
      <c r="BV86">
        <v>0</v>
      </c>
      <c r="BZ86">
        <v>0</v>
      </c>
      <c r="CD86">
        <v>0</v>
      </c>
      <c r="CH86">
        <v>0</v>
      </c>
    </row>
    <row r="88" spans="1:88" x14ac:dyDescent="0.35">
      <c r="AB88" s="2" t="s">
        <v>3</v>
      </c>
      <c r="AF88" s="2" t="s">
        <v>4</v>
      </c>
      <c r="AJ88" s="2" t="s">
        <v>5</v>
      </c>
      <c r="AN88" s="2" t="s">
        <v>6</v>
      </c>
      <c r="AR88" s="2" t="s">
        <v>7</v>
      </c>
      <c r="AV88" s="2" t="s">
        <v>8</v>
      </c>
      <c r="AZ88" s="2" t="s">
        <v>3</v>
      </c>
      <c r="BD88" s="2" t="s">
        <v>4</v>
      </c>
      <c r="BH88" s="2" t="s">
        <v>5</v>
      </c>
      <c r="BL88" s="2" t="s">
        <v>3</v>
      </c>
      <c r="BP88" s="2" t="s">
        <v>4</v>
      </c>
      <c r="BT88" s="2" t="s">
        <v>5</v>
      </c>
      <c r="BX88" s="2" t="s">
        <v>3</v>
      </c>
      <c r="CB88" s="2" t="s">
        <v>4</v>
      </c>
      <c r="CF88" s="2" t="s">
        <v>5</v>
      </c>
      <c r="CJ88" s="2" t="s">
        <v>6</v>
      </c>
    </row>
    <row r="89" spans="1:88" s="3" customFormat="1" x14ac:dyDescent="0.35">
      <c r="A89" s="3" t="s">
        <v>462</v>
      </c>
      <c r="D89" s="5" t="s">
        <v>406</v>
      </c>
      <c r="H89" s="5" t="s">
        <v>406</v>
      </c>
      <c r="L89" s="5" t="s">
        <v>406</v>
      </c>
      <c r="P89" s="5" t="s">
        <v>406</v>
      </c>
      <c r="T89" s="5" t="s">
        <v>406</v>
      </c>
      <c r="X89" s="5" t="s">
        <v>406</v>
      </c>
      <c r="AB89" s="5" t="s">
        <v>406</v>
      </c>
      <c r="AF89" s="5" t="s">
        <v>406</v>
      </c>
      <c r="AJ89" s="5" t="s">
        <v>406</v>
      </c>
      <c r="AN89" s="5" t="s">
        <v>406</v>
      </c>
      <c r="AR89" s="5" t="s">
        <v>406</v>
      </c>
      <c r="AV89" s="5" t="s">
        <v>406</v>
      </c>
      <c r="AZ89" s="5" t="s">
        <v>406</v>
      </c>
      <c r="BD89" s="5" t="s">
        <v>406</v>
      </c>
      <c r="BH89" s="5" t="s">
        <v>406</v>
      </c>
      <c r="BL89" s="5" t="s">
        <v>406</v>
      </c>
      <c r="BP89" s="5" t="s">
        <v>406</v>
      </c>
      <c r="BT89" s="5" t="s">
        <v>406</v>
      </c>
      <c r="BX89" s="5" t="s">
        <v>406</v>
      </c>
      <c r="CB89" s="5" t="s">
        <v>406</v>
      </c>
      <c r="CF89" s="5" t="s">
        <v>406</v>
      </c>
      <c r="CJ89" s="5" t="s">
        <v>406</v>
      </c>
    </row>
    <row r="90" spans="1:88" x14ac:dyDescent="0.35">
      <c r="A90" s="1" t="s">
        <v>463</v>
      </c>
      <c r="B90">
        <v>351</v>
      </c>
      <c r="C90" s="6">
        <f>B90/B93</f>
        <v>0.80875576036866359</v>
      </c>
      <c r="D90" s="6">
        <f>351/$D$3</f>
        <v>0.31909090909090909</v>
      </c>
      <c r="F90">
        <v>329</v>
      </c>
      <c r="G90" s="6">
        <f>F90/F93</f>
        <v>0.82871536523929468</v>
      </c>
      <c r="H90" s="6">
        <f>329/$H$3</f>
        <v>0.3611416026344676</v>
      </c>
      <c r="J90">
        <v>351</v>
      </c>
      <c r="K90" s="6">
        <f>J90/J93</f>
        <v>0.80875576036866359</v>
      </c>
      <c r="L90" s="6">
        <f>351/$L$3</f>
        <v>0.80875576036866359</v>
      </c>
      <c r="N90">
        <v>0</v>
      </c>
      <c r="O90" s="6">
        <v>0</v>
      </c>
      <c r="P90" s="8">
        <f>0/$P$3</f>
        <v>0</v>
      </c>
      <c r="R90">
        <v>210</v>
      </c>
      <c r="S90" s="6">
        <f>R90/R93</f>
        <v>0.84337349397590367</v>
      </c>
      <c r="T90" s="9">
        <f>210/$T$3</f>
        <v>0.375</v>
      </c>
      <c r="V90">
        <v>141</v>
      </c>
      <c r="W90" s="6">
        <f>V90/V93</f>
        <v>0.76216216216216215</v>
      </c>
      <c r="X90" s="8">
        <f>141/$X$3</f>
        <v>0.26111111111111113</v>
      </c>
      <c r="Z90">
        <v>35</v>
      </c>
      <c r="AA90" s="6">
        <f>Z90/Z93</f>
        <v>0.67307692307692313</v>
      </c>
      <c r="AB90" s="6">
        <f>35/$AB$3</f>
        <v>0.30973451327433627</v>
      </c>
      <c r="AD90">
        <v>59</v>
      </c>
      <c r="AE90" s="6">
        <f>AD90/AD93</f>
        <v>0.73750000000000004</v>
      </c>
      <c r="AF90" s="6">
        <f>59/$AF$3</f>
        <v>0.29797979797979796</v>
      </c>
      <c r="AH90">
        <v>77</v>
      </c>
      <c r="AI90" s="6">
        <f>AH90/AH93</f>
        <v>0.83695652173913049</v>
      </c>
      <c r="AJ90" s="6">
        <f>77/$AJ$3</f>
        <v>0.31174089068825911</v>
      </c>
      <c r="AL90">
        <v>87</v>
      </c>
      <c r="AM90" s="6">
        <f>AL90/AL93</f>
        <v>0.87</v>
      </c>
      <c r="AN90" s="9">
        <f>87/$AN$3</f>
        <v>0.375</v>
      </c>
      <c r="AP90">
        <v>61</v>
      </c>
      <c r="AQ90" s="6">
        <f>AP90/AP93</f>
        <v>0.85915492957746475</v>
      </c>
      <c r="AR90" s="6">
        <f>61/$AR$3</f>
        <v>0.32795698924731181</v>
      </c>
      <c r="AT90">
        <v>32</v>
      </c>
      <c r="AU90" s="6">
        <f>AT90/AT93</f>
        <v>0.82051282051282048</v>
      </c>
      <c r="AV90" s="6">
        <f>32/$AV$3</f>
        <v>0.25806451612903225</v>
      </c>
      <c r="AX90">
        <v>150</v>
      </c>
      <c r="AY90" s="6">
        <f>AX90/AX93</f>
        <v>0.81081081081081086</v>
      </c>
      <c r="AZ90" s="6">
        <f>150/$AZ$3</f>
        <v>0.34883720930232559</v>
      </c>
      <c r="BB90">
        <v>131</v>
      </c>
      <c r="BC90" s="6">
        <f>BB90/BB93</f>
        <v>0.77976190476190477</v>
      </c>
      <c r="BD90" s="6">
        <f>131/$BD$3</f>
        <v>0.30607476635514019</v>
      </c>
      <c r="BF90">
        <v>70</v>
      </c>
      <c r="BG90" s="6">
        <f>BF90/BF93</f>
        <v>0.86419753086419748</v>
      </c>
      <c r="BH90" s="6">
        <f>70/$BH$3</f>
        <v>0.28925619834710742</v>
      </c>
      <c r="BJ90">
        <v>125</v>
      </c>
      <c r="BK90" s="6">
        <f>BJ90/BJ93</f>
        <v>0.81699346405228757</v>
      </c>
      <c r="BL90" s="6">
        <f>125/$BL$3</f>
        <v>0.31017369727047145</v>
      </c>
      <c r="BN90">
        <v>132</v>
      </c>
      <c r="BO90" s="6">
        <f>BN90/BN93</f>
        <v>0.78106508875739644</v>
      </c>
      <c r="BP90" s="6">
        <f>132/$BP$3</f>
        <v>0.31205673758865249</v>
      </c>
      <c r="BR90">
        <v>94</v>
      </c>
      <c r="BS90" s="6">
        <f>BR90/BR93</f>
        <v>0.8392857142857143</v>
      </c>
      <c r="BT90" s="6">
        <f>94/$BT$3</f>
        <v>0.34306569343065696</v>
      </c>
      <c r="BV90">
        <v>97</v>
      </c>
      <c r="BW90" s="6">
        <f>BV90/BV93</f>
        <v>0.77600000000000002</v>
      </c>
      <c r="BX90" s="6">
        <f>97/$BX$3</f>
        <v>0.31803278688524589</v>
      </c>
      <c r="BZ90">
        <v>88</v>
      </c>
      <c r="CA90" s="6">
        <f>BZ90/BZ93</f>
        <v>0.84615384615384615</v>
      </c>
      <c r="CB90" s="9">
        <f>88/$CB$3</f>
        <v>0.39285714285714285</v>
      </c>
      <c r="CD90">
        <v>73</v>
      </c>
      <c r="CE90" s="6">
        <f>CD90/CD93</f>
        <v>0.8202247191011236</v>
      </c>
      <c r="CF90" s="6">
        <f>73/$CF$3</f>
        <v>0.30290456431535268</v>
      </c>
      <c r="CH90">
        <v>93</v>
      </c>
      <c r="CI90" s="6">
        <f>CH90/CH93</f>
        <v>0.80172413793103448</v>
      </c>
      <c r="CJ90" s="6">
        <f>93/$CJ$3</f>
        <v>0.2818181818181818</v>
      </c>
    </row>
    <row r="91" spans="1:88" x14ac:dyDescent="0.35">
      <c r="A91" s="1" t="s">
        <v>464</v>
      </c>
      <c r="B91">
        <v>83</v>
      </c>
      <c r="C91" s="6">
        <f>B91/B93</f>
        <v>0.19124423963133641</v>
      </c>
      <c r="D91" s="6">
        <f>83/$D$3</f>
        <v>7.5454545454545455E-2</v>
      </c>
      <c r="F91">
        <v>68</v>
      </c>
      <c r="G91" s="6">
        <f>F91/F93</f>
        <v>0.1712846347607053</v>
      </c>
      <c r="H91" s="6">
        <f>68/$H$3</f>
        <v>7.4643249176728863E-2</v>
      </c>
      <c r="J91">
        <v>83</v>
      </c>
      <c r="K91" s="6">
        <f>J91/J93</f>
        <v>0.19124423963133641</v>
      </c>
      <c r="L91" s="6">
        <f>83/$L$3</f>
        <v>0.19124423963133641</v>
      </c>
      <c r="N91">
        <v>0</v>
      </c>
      <c r="O91" s="6">
        <v>0</v>
      </c>
      <c r="P91" s="8">
        <f>0/$P$3</f>
        <v>0</v>
      </c>
      <c r="R91">
        <v>39</v>
      </c>
      <c r="S91" s="6">
        <f>R91/R93</f>
        <v>0.15662650602409639</v>
      </c>
      <c r="T91" s="6">
        <f>39/$T$3</f>
        <v>6.9642857142857145E-2</v>
      </c>
      <c r="V91">
        <v>44</v>
      </c>
      <c r="W91" s="6">
        <f>V91/V93</f>
        <v>0.23783783783783785</v>
      </c>
      <c r="X91" s="6">
        <f>44/$X$3</f>
        <v>8.1481481481481488E-2</v>
      </c>
      <c r="Z91">
        <v>17</v>
      </c>
      <c r="AA91" s="6">
        <f>Z91/Z93</f>
        <v>0.32692307692307693</v>
      </c>
      <c r="AB91" s="9">
        <f>17/$AB$3</f>
        <v>0.15044247787610621</v>
      </c>
      <c r="AD91">
        <v>21</v>
      </c>
      <c r="AE91" s="6">
        <f>AD91/AD93</f>
        <v>0.26250000000000001</v>
      </c>
      <c r="AF91" s="6">
        <f>21/$AF$3</f>
        <v>0.10606060606060606</v>
      </c>
      <c r="AH91">
        <v>15</v>
      </c>
      <c r="AI91" s="6">
        <f>AH91/AH93</f>
        <v>0.16304347826086957</v>
      </c>
      <c r="AJ91" s="6">
        <f>15/$AJ$3</f>
        <v>6.0728744939271252E-2</v>
      </c>
      <c r="AL91">
        <v>13</v>
      </c>
      <c r="AM91" s="6">
        <f>AL91/AL93</f>
        <v>0.13</v>
      </c>
      <c r="AN91" s="6">
        <f>13/$AN$3</f>
        <v>5.6034482758620691E-2</v>
      </c>
      <c r="AP91">
        <v>10</v>
      </c>
      <c r="AQ91" s="6">
        <f>AP91/AP93</f>
        <v>0.14084507042253522</v>
      </c>
      <c r="AR91" s="6">
        <f>10/$AR$3</f>
        <v>5.3763440860215055E-2</v>
      </c>
      <c r="AT91">
        <v>7</v>
      </c>
      <c r="AU91" s="6">
        <f>AT91/AT93</f>
        <v>0.17948717948717949</v>
      </c>
      <c r="AV91" s="6">
        <f>7/$AV$3</f>
        <v>5.6451612903225805E-2</v>
      </c>
      <c r="AX91">
        <v>35</v>
      </c>
      <c r="AY91" s="6">
        <f>AX91/AX93</f>
        <v>0.1891891891891892</v>
      </c>
      <c r="AZ91" s="6">
        <f>35/$AZ$3</f>
        <v>8.1395348837209308E-2</v>
      </c>
      <c r="BB91">
        <v>37</v>
      </c>
      <c r="BC91" s="6">
        <f>BB91/BB93</f>
        <v>0.22023809523809523</v>
      </c>
      <c r="BD91" s="6">
        <f>37/$BD$3</f>
        <v>8.6448598130841117E-2</v>
      </c>
      <c r="BF91">
        <v>11</v>
      </c>
      <c r="BG91" s="6">
        <f>BF91/BF93</f>
        <v>0.13580246913580246</v>
      </c>
      <c r="BH91" s="6">
        <f>11/$BH$3</f>
        <v>4.5454545454545456E-2</v>
      </c>
      <c r="BJ91">
        <v>28</v>
      </c>
      <c r="BK91" s="6">
        <f>BJ91/BJ93</f>
        <v>0.18300653594771241</v>
      </c>
      <c r="BL91" s="6">
        <f>28/$BL$3</f>
        <v>6.9478908188585611E-2</v>
      </c>
      <c r="BN91">
        <v>37</v>
      </c>
      <c r="BO91" s="6">
        <f>BN91/BN93</f>
        <v>0.21893491124260356</v>
      </c>
      <c r="BP91" s="6">
        <f>37/$BP$3</f>
        <v>8.7470449172576833E-2</v>
      </c>
      <c r="BR91">
        <v>18</v>
      </c>
      <c r="BS91" s="6">
        <f>BR91/BR93</f>
        <v>0.16071428571428573</v>
      </c>
      <c r="BT91" s="6">
        <f>18/$BT$3</f>
        <v>6.569343065693431E-2</v>
      </c>
      <c r="BV91">
        <v>28</v>
      </c>
      <c r="BW91" s="6">
        <f>BV91/BV93</f>
        <v>0.224</v>
      </c>
      <c r="BX91" s="6">
        <f>28/$BX$3</f>
        <v>9.1803278688524587E-2</v>
      </c>
      <c r="BZ91">
        <v>16</v>
      </c>
      <c r="CA91" s="6">
        <f>BZ91/BZ93</f>
        <v>0.15384615384615385</v>
      </c>
      <c r="CB91" s="6">
        <f>16/$CB$3</f>
        <v>7.1428571428571425E-2</v>
      </c>
      <c r="CD91">
        <v>16</v>
      </c>
      <c r="CE91" s="6">
        <f>CD91/CD93</f>
        <v>0.1797752808988764</v>
      </c>
      <c r="CF91" s="6">
        <f>16/$CF$3</f>
        <v>6.6390041493775934E-2</v>
      </c>
      <c r="CH91">
        <v>23</v>
      </c>
      <c r="CI91" s="6">
        <f>CH91/CH93</f>
        <v>0.19827586206896552</v>
      </c>
      <c r="CJ91" s="6">
        <f>23/$CJ$3</f>
        <v>6.9696969696969702E-2</v>
      </c>
    </row>
    <row r="92" spans="1:88" x14ac:dyDescent="0.35">
      <c r="A92" s="1" t="s">
        <v>409</v>
      </c>
      <c r="B92">
        <v>0</v>
      </c>
      <c r="C92" s="6">
        <f>B92/B93</f>
        <v>0</v>
      </c>
      <c r="D92" s="6">
        <f>0/$D$3</f>
        <v>0</v>
      </c>
      <c r="F92">
        <v>0</v>
      </c>
      <c r="G92" s="6">
        <f>F92/F93</f>
        <v>0</v>
      </c>
      <c r="H92" s="6">
        <f>0/$H$3</f>
        <v>0</v>
      </c>
      <c r="J92">
        <v>0</v>
      </c>
      <c r="K92" s="6">
        <f>J92/J93</f>
        <v>0</v>
      </c>
      <c r="L92" s="6">
        <f>0/$L$3</f>
        <v>0</v>
      </c>
      <c r="N92">
        <v>0</v>
      </c>
      <c r="O92" s="6">
        <v>0</v>
      </c>
      <c r="P92" s="6">
        <f>0/$P$3</f>
        <v>0</v>
      </c>
      <c r="R92">
        <v>0</v>
      </c>
      <c r="S92" s="6">
        <f>R92/R93</f>
        <v>0</v>
      </c>
      <c r="T92" s="6">
        <f>0/$T$3</f>
        <v>0</v>
      </c>
      <c r="V92">
        <v>0</v>
      </c>
      <c r="W92" s="6">
        <f>V92/V93</f>
        <v>0</v>
      </c>
      <c r="X92" s="6">
        <f>0/$X$3</f>
        <v>0</v>
      </c>
      <c r="Z92">
        <v>0</v>
      </c>
      <c r="AA92" s="6">
        <f>Z92/Z93</f>
        <v>0</v>
      </c>
      <c r="AB92" s="6">
        <f>0/$AB$3</f>
        <v>0</v>
      </c>
      <c r="AD92">
        <v>0</v>
      </c>
      <c r="AE92" s="6">
        <f>AD92/AD93</f>
        <v>0</v>
      </c>
      <c r="AF92" s="6">
        <f>0/$AF$3</f>
        <v>0</v>
      </c>
      <c r="AH92">
        <v>0</v>
      </c>
      <c r="AI92" s="6">
        <f>AH92/AH93</f>
        <v>0</v>
      </c>
      <c r="AJ92" s="6">
        <f>0/$AJ$3</f>
        <v>0</v>
      </c>
      <c r="AL92">
        <v>0</v>
      </c>
      <c r="AM92" s="6">
        <f>AL92/AL93</f>
        <v>0</v>
      </c>
      <c r="AN92" s="6">
        <f>0/$AN$3</f>
        <v>0</v>
      </c>
      <c r="AP92">
        <v>0</v>
      </c>
      <c r="AQ92" s="6">
        <f>AP92/AP93</f>
        <v>0</v>
      </c>
      <c r="AR92" s="6">
        <f>0/$AR$3</f>
        <v>0</v>
      </c>
      <c r="AT92">
        <v>0</v>
      </c>
      <c r="AU92" s="6">
        <f>AT92/AT93</f>
        <v>0</v>
      </c>
      <c r="AV92" s="6">
        <f>0/$AV$3</f>
        <v>0</v>
      </c>
      <c r="AX92">
        <v>0</v>
      </c>
      <c r="AY92" s="6">
        <f>AX92/AX93</f>
        <v>0</v>
      </c>
      <c r="AZ92" s="6">
        <f>0/$AZ$3</f>
        <v>0</v>
      </c>
      <c r="BB92">
        <v>0</v>
      </c>
      <c r="BC92" s="6">
        <f>BB92/BB93</f>
        <v>0</v>
      </c>
      <c r="BD92" s="6">
        <f>0/$BD$3</f>
        <v>0</v>
      </c>
      <c r="BF92">
        <v>0</v>
      </c>
      <c r="BG92" s="6">
        <f>BF92/BF93</f>
        <v>0</v>
      </c>
      <c r="BH92" s="6">
        <f>0/$BH$3</f>
        <v>0</v>
      </c>
      <c r="BJ92">
        <v>0</v>
      </c>
      <c r="BK92" s="6">
        <f>BJ92/BJ93</f>
        <v>0</v>
      </c>
      <c r="BL92" s="6">
        <f>0/$BL$3</f>
        <v>0</v>
      </c>
      <c r="BN92">
        <v>0</v>
      </c>
      <c r="BO92" s="6">
        <f>BN92/BN93</f>
        <v>0</v>
      </c>
      <c r="BP92" s="6">
        <f>0/$BP$3</f>
        <v>0</v>
      </c>
      <c r="BR92">
        <v>0</v>
      </c>
      <c r="BS92" s="6">
        <f>BR92/BR93</f>
        <v>0</v>
      </c>
      <c r="BT92" s="6">
        <f>0/$BT$3</f>
        <v>0</v>
      </c>
      <c r="BV92">
        <v>0</v>
      </c>
      <c r="BW92" s="6">
        <f>BV92/BV93</f>
        <v>0</v>
      </c>
      <c r="BX92" s="6">
        <f>0/$BX$3</f>
        <v>0</v>
      </c>
      <c r="BZ92">
        <v>0</v>
      </c>
      <c r="CA92" s="6">
        <f>BZ92/BZ93</f>
        <v>0</v>
      </c>
      <c r="CB92" s="6">
        <f>0/$CB$3</f>
        <v>0</v>
      </c>
      <c r="CD92">
        <v>0</v>
      </c>
      <c r="CE92" s="6">
        <f>CD92/CD93</f>
        <v>0</v>
      </c>
      <c r="CF92" s="6">
        <f>0/$CF$3</f>
        <v>0</v>
      </c>
      <c r="CH92">
        <v>0</v>
      </c>
      <c r="CI92" s="6">
        <f>CH92/CH93</f>
        <v>0</v>
      </c>
      <c r="CJ92" s="6">
        <f>0/$CJ$3</f>
        <v>0</v>
      </c>
    </row>
    <row r="93" spans="1:88" s="10" customFormat="1" x14ac:dyDescent="0.35">
      <c r="A93" s="11" t="s">
        <v>411</v>
      </c>
      <c r="B93" s="10">
        <v>434</v>
      </c>
      <c r="F93" s="10">
        <v>397</v>
      </c>
      <c r="J93" s="10">
        <v>434</v>
      </c>
      <c r="N93" s="10">
        <v>0</v>
      </c>
      <c r="R93" s="10">
        <v>249</v>
      </c>
      <c r="V93" s="10">
        <v>185</v>
      </c>
      <c r="Z93" s="10">
        <v>52</v>
      </c>
      <c r="AD93" s="10">
        <v>80</v>
      </c>
      <c r="AH93" s="10">
        <v>92</v>
      </c>
      <c r="AL93" s="10">
        <v>100</v>
      </c>
      <c r="AP93" s="10">
        <v>71</v>
      </c>
      <c r="AT93" s="10">
        <v>39</v>
      </c>
      <c r="AX93" s="10">
        <v>185</v>
      </c>
      <c r="BB93" s="10">
        <v>168</v>
      </c>
      <c r="BF93" s="10">
        <v>81</v>
      </c>
      <c r="BJ93" s="10">
        <v>153</v>
      </c>
      <c r="BN93" s="10">
        <v>169</v>
      </c>
      <c r="BR93" s="10">
        <v>112</v>
      </c>
      <c r="BV93" s="10">
        <v>125</v>
      </c>
      <c r="BZ93" s="10">
        <v>104</v>
      </c>
      <c r="CD93" s="10">
        <v>89</v>
      </c>
      <c r="CH93" s="10">
        <v>116</v>
      </c>
    </row>
    <row r="94" spans="1:88" hidden="1" x14ac:dyDescent="0.35">
      <c r="A94" s="12" t="s">
        <v>412</v>
      </c>
      <c r="B94">
        <v>0</v>
      </c>
      <c r="F94">
        <v>0</v>
      </c>
      <c r="J94">
        <v>0</v>
      </c>
      <c r="N94">
        <v>0</v>
      </c>
      <c r="R94">
        <v>0</v>
      </c>
      <c r="V94">
        <v>0</v>
      </c>
      <c r="Z94">
        <v>0</v>
      </c>
      <c r="AD94">
        <v>0</v>
      </c>
      <c r="AH94">
        <v>0</v>
      </c>
      <c r="AL94">
        <v>0</v>
      </c>
      <c r="AP94">
        <v>0</v>
      </c>
      <c r="AT94">
        <v>0</v>
      </c>
      <c r="AX94">
        <v>0</v>
      </c>
      <c r="BB94">
        <v>0</v>
      </c>
      <c r="BF94">
        <v>0</v>
      </c>
      <c r="BJ94">
        <v>0</v>
      </c>
      <c r="BN94">
        <v>0</v>
      </c>
      <c r="BR94">
        <v>0</v>
      </c>
      <c r="BV94">
        <v>0</v>
      </c>
      <c r="BZ94">
        <v>0</v>
      </c>
      <c r="CD94">
        <v>0</v>
      </c>
      <c r="CH94">
        <v>0</v>
      </c>
    </row>
    <row r="95" spans="1:88" s="13" customFormat="1" x14ac:dyDescent="0.35">
      <c r="A95" s="12" t="s">
        <v>413</v>
      </c>
      <c r="B95" s="13">
        <v>666</v>
      </c>
      <c r="F95" s="13">
        <v>514</v>
      </c>
      <c r="J95" s="13">
        <v>0</v>
      </c>
      <c r="N95" s="13">
        <v>81</v>
      </c>
      <c r="R95" s="13">
        <v>311</v>
      </c>
      <c r="V95" s="13">
        <v>355</v>
      </c>
      <c r="Z95" s="13">
        <v>61</v>
      </c>
      <c r="AD95" s="13">
        <v>118</v>
      </c>
      <c r="AH95" s="13">
        <v>155</v>
      </c>
      <c r="AL95" s="13">
        <v>132</v>
      </c>
      <c r="AP95" s="13">
        <v>115</v>
      </c>
      <c r="AT95" s="13">
        <v>85</v>
      </c>
      <c r="AX95" s="13">
        <v>245</v>
      </c>
      <c r="BB95" s="13">
        <v>260</v>
      </c>
      <c r="BF95" s="13">
        <v>161</v>
      </c>
      <c r="BJ95" s="13">
        <v>250</v>
      </c>
      <c r="BN95" s="13">
        <v>254</v>
      </c>
      <c r="BR95" s="13">
        <v>162</v>
      </c>
      <c r="BV95" s="13">
        <v>180</v>
      </c>
      <c r="BZ95" s="13">
        <v>120</v>
      </c>
      <c r="CD95" s="13">
        <v>152</v>
      </c>
      <c r="CH95" s="13">
        <v>214</v>
      </c>
    </row>
    <row r="97" spans="1:88" x14ac:dyDescent="0.35">
      <c r="AB97" s="2" t="s">
        <v>3</v>
      </c>
      <c r="AF97" s="2" t="s">
        <v>4</v>
      </c>
      <c r="AJ97" s="2" t="s">
        <v>5</v>
      </c>
      <c r="AN97" s="2" t="s">
        <v>6</v>
      </c>
      <c r="AR97" s="2" t="s">
        <v>7</v>
      </c>
      <c r="AV97" s="2" t="s">
        <v>8</v>
      </c>
      <c r="AZ97" s="2" t="s">
        <v>3</v>
      </c>
      <c r="BD97" s="2" t="s">
        <v>4</v>
      </c>
      <c r="BH97" s="2" t="s">
        <v>5</v>
      </c>
      <c r="BL97" s="2" t="s">
        <v>3</v>
      </c>
      <c r="BP97" s="2" t="s">
        <v>4</v>
      </c>
      <c r="BT97" s="2" t="s">
        <v>5</v>
      </c>
      <c r="BX97" s="2" t="s">
        <v>3</v>
      </c>
      <c r="CB97" s="2" t="s">
        <v>4</v>
      </c>
      <c r="CF97" s="2" t="s">
        <v>5</v>
      </c>
      <c r="CJ97" s="2" t="s">
        <v>6</v>
      </c>
    </row>
    <row r="98" spans="1:88" s="3" customFormat="1" x14ac:dyDescent="0.35">
      <c r="A98" s="3" t="s">
        <v>465</v>
      </c>
      <c r="D98" s="5" t="s">
        <v>406</v>
      </c>
      <c r="H98" s="5" t="s">
        <v>406</v>
      </c>
      <c r="L98" s="5" t="s">
        <v>406</v>
      </c>
      <c r="P98" s="5" t="s">
        <v>406</v>
      </c>
      <c r="T98" s="5" t="s">
        <v>406</v>
      </c>
      <c r="X98" s="5" t="s">
        <v>406</v>
      </c>
      <c r="AB98" s="5" t="s">
        <v>406</v>
      </c>
      <c r="AF98" s="5" t="s">
        <v>406</v>
      </c>
      <c r="AJ98" s="5" t="s">
        <v>406</v>
      </c>
      <c r="AN98" s="5" t="s">
        <v>406</v>
      </c>
      <c r="AR98" s="5" t="s">
        <v>406</v>
      </c>
      <c r="AV98" s="5" t="s">
        <v>406</v>
      </c>
      <c r="AZ98" s="5" t="s">
        <v>406</v>
      </c>
      <c r="BD98" s="5" t="s">
        <v>406</v>
      </c>
      <c r="BH98" s="5" t="s">
        <v>406</v>
      </c>
      <c r="BL98" s="5" t="s">
        <v>406</v>
      </c>
      <c r="BP98" s="5" t="s">
        <v>406</v>
      </c>
      <c r="BT98" s="5" t="s">
        <v>406</v>
      </c>
      <c r="BX98" s="5" t="s">
        <v>406</v>
      </c>
      <c r="CB98" s="5" t="s">
        <v>406</v>
      </c>
      <c r="CF98" s="5" t="s">
        <v>406</v>
      </c>
      <c r="CJ98" s="5" t="s">
        <v>406</v>
      </c>
    </row>
    <row r="99" spans="1:88" x14ac:dyDescent="0.35">
      <c r="A99" s="1" t="s">
        <v>466</v>
      </c>
      <c r="B99">
        <v>58</v>
      </c>
      <c r="C99" s="6">
        <f>B99/B109</f>
        <v>0.16524216524216523</v>
      </c>
      <c r="D99" s="6">
        <f>58/$D$3</f>
        <v>5.2727272727272727E-2</v>
      </c>
      <c r="F99">
        <v>54</v>
      </c>
      <c r="G99" s="6">
        <f>F99/F109</f>
        <v>0.1641337386018237</v>
      </c>
      <c r="H99" s="6">
        <f>54/$H$3</f>
        <v>5.9275521405049394E-2</v>
      </c>
      <c r="J99">
        <v>58</v>
      </c>
      <c r="K99" s="6">
        <f>J99/J109</f>
        <v>0.16524216524216523</v>
      </c>
      <c r="L99" s="6">
        <f>58/$L$3</f>
        <v>0.13364055299539171</v>
      </c>
      <c r="N99">
        <v>0</v>
      </c>
      <c r="O99" s="6">
        <v>0</v>
      </c>
      <c r="P99" s="6">
        <f t="shared" ref="P99:P108" si="0">0/$P$3</f>
        <v>0</v>
      </c>
      <c r="R99">
        <v>39</v>
      </c>
      <c r="S99" s="6">
        <f>R99/R109</f>
        <v>0.18571428571428572</v>
      </c>
      <c r="T99" s="6">
        <f>39/$T$3</f>
        <v>6.9642857142857145E-2</v>
      </c>
      <c r="V99">
        <v>19</v>
      </c>
      <c r="W99" s="6">
        <f>V99/V109</f>
        <v>0.13475177304964539</v>
      </c>
      <c r="X99" s="6">
        <f>19/$X$3</f>
        <v>3.5185185185185187E-2</v>
      </c>
      <c r="Z99">
        <v>7</v>
      </c>
      <c r="AA99" s="6">
        <f>Z99/Z109</f>
        <v>0.2</v>
      </c>
      <c r="AB99" s="6">
        <f>7/$AB$3</f>
        <v>6.1946902654867256E-2</v>
      </c>
      <c r="AD99">
        <v>9</v>
      </c>
      <c r="AE99" s="6">
        <f>AD99/AD109</f>
        <v>0.15254237288135594</v>
      </c>
      <c r="AF99" s="6">
        <f>9/$AF$3</f>
        <v>4.5454545454545456E-2</v>
      </c>
      <c r="AH99">
        <v>13</v>
      </c>
      <c r="AI99" s="6">
        <f>AH99/AH109</f>
        <v>0.16883116883116883</v>
      </c>
      <c r="AJ99" s="6">
        <f>13/$AJ$3</f>
        <v>5.2631578947368418E-2</v>
      </c>
      <c r="AL99">
        <v>15</v>
      </c>
      <c r="AM99" s="6">
        <f>AL99/AL109</f>
        <v>0.17241379310344829</v>
      </c>
      <c r="AN99" s="6">
        <f>15/$AN$3</f>
        <v>6.4655172413793108E-2</v>
      </c>
      <c r="AP99">
        <v>10</v>
      </c>
      <c r="AQ99" s="6">
        <f>AP99/AP109</f>
        <v>0.16393442622950818</v>
      </c>
      <c r="AR99" s="6">
        <f>10/$AR$3</f>
        <v>5.3763440860215055E-2</v>
      </c>
      <c r="AT99">
        <v>4</v>
      </c>
      <c r="AU99" s="6">
        <f>AT99/AT109</f>
        <v>0.125</v>
      </c>
      <c r="AV99" s="6">
        <f>4/$AV$3</f>
        <v>3.2258064516129031E-2</v>
      </c>
      <c r="AX99">
        <v>29</v>
      </c>
      <c r="AY99" s="6">
        <f>AX99/AX109</f>
        <v>0.19333333333333333</v>
      </c>
      <c r="AZ99" s="6">
        <f>29/$AZ$3</f>
        <v>6.7441860465116285E-2</v>
      </c>
      <c r="BB99">
        <v>14</v>
      </c>
      <c r="BC99" s="6">
        <f>BB99/BB109</f>
        <v>0.10687022900763359</v>
      </c>
      <c r="BD99" s="6">
        <f>14/$BD$3</f>
        <v>3.2710280373831772E-2</v>
      </c>
      <c r="BF99">
        <v>15</v>
      </c>
      <c r="BG99" s="6">
        <f>BF99/BF109</f>
        <v>0.21428571428571427</v>
      </c>
      <c r="BH99" s="6">
        <f>15/$BH$3</f>
        <v>6.1983471074380167E-2</v>
      </c>
      <c r="BJ99">
        <v>19</v>
      </c>
      <c r="BK99" s="6">
        <f>BJ99/BJ109</f>
        <v>0.152</v>
      </c>
      <c r="BL99" s="6">
        <f>19/$BL$3</f>
        <v>4.7146401985111663E-2</v>
      </c>
      <c r="BN99">
        <v>24</v>
      </c>
      <c r="BO99" s="6">
        <f>BN99/BN109</f>
        <v>0.18181818181818182</v>
      </c>
      <c r="BP99" s="6">
        <f>24/$BP$3</f>
        <v>5.6737588652482268E-2</v>
      </c>
      <c r="BR99">
        <v>15</v>
      </c>
      <c r="BS99" s="6">
        <f>BR99/BR109</f>
        <v>0.15957446808510639</v>
      </c>
      <c r="BT99" s="6">
        <f>15/$BT$3</f>
        <v>5.4744525547445258E-2</v>
      </c>
      <c r="BV99">
        <v>17</v>
      </c>
      <c r="BW99" s="6">
        <f>BV99/BV109</f>
        <v>0.17525773195876287</v>
      </c>
      <c r="BX99" s="6">
        <f>17/$BX$3</f>
        <v>5.5737704918032788E-2</v>
      </c>
      <c r="BZ99">
        <v>13</v>
      </c>
      <c r="CA99" s="6">
        <f>BZ99/BZ109</f>
        <v>0.14772727272727273</v>
      </c>
      <c r="CB99" s="6">
        <f>13/$CB$3</f>
        <v>5.8035714285714288E-2</v>
      </c>
      <c r="CD99">
        <v>16</v>
      </c>
      <c r="CE99" s="6">
        <f>CD99/CD109</f>
        <v>0.21917808219178081</v>
      </c>
      <c r="CF99" s="6">
        <f>16/$CF$3</f>
        <v>6.6390041493775934E-2</v>
      </c>
      <c r="CH99">
        <v>12</v>
      </c>
      <c r="CI99" s="6">
        <f>CH99/CH109</f>
        <v>0.12903225806451613</v>
      </c>
      <c r="CJ99" s="6">
        <f>12/$CJ$3</f>
        <v>3.6363636363636362E-2</v>
      </c>
    </row>
    <row r="100" spans="1:88" x14ac:dyDescent="0.35">
      <c r="A100" s="1" t="s">
        <v>467</v>
      </c>
      <c r="B100">
        <v>88</v>
      </c>
      <c r="C100" s="6">
        <f>B100/B109</f>
        <v>0.25071225071225073</v>
      </c>
      <c r="D100" s="6">
        <f>88/$D$3</f>
        <v>0.08</v>
      </c>
      <c r="F100">
        <v>86</v>
      </c>
      <c r="G100" s="6">
        <f>F100/F109</f>
        <v>0.26139817629179329</v>
      </c>
      <c r="H100" s="6">
        <f>86/$H$3</f>
        <v>9.4401756311745341E-2</v>
      </c>
      <c r="J100">
        <v>88</v>
      </c>
      <c r="K100" s="6">
        <f>J100/J109</f>
        <v>0.25071225071225073</v>
      </c>
      <c r="L100" s="6">
        <f>88/$L$3</f>
        <v>0.20276497695852536</v>
      </c>
      <c r="N100">
        <v>0</v>
      </c>
      <c r="O100" s="6">
        <v>0</v>
      </c>
      <c r="P100" s="8">
        <f t="shared" si="0"/>
        <v>0</v>
      </c>
      <c r="R100">
        <v>48</v>
      </c>
      <c r="S100" s="6">
        <f>R100/R109</f>
        <v>0.22857142857142856</v>
      </c>
      <c r="T100" s="6">
        <f>48/$T$3</f>
        <v>8.5714285714285715E-2</v>
      </c>
      <c r="V100">
        <v>40</v>
      </c>
      <c r="W100" s="6">
        <f>V100/V109</f>
        <v>0.28368794326241137</v>
      </c>
      <c r="X100" s="6">
        <f>40/$X$3</f>
        <v>7.407407407407407E-2</v>
      </c>
      <c r="Z100">
        <v>11</v>
      </c>
      <c r="AA100" s="6">
        <f>Z100/Z109</f>
        <v>0.31428571428571428</v>
      </c>
      <c r="AB100" s="6">
        <f>11/$AB$3</f>
        <v>9.7345132743362831E-2</v>
      </c>
      <c r="AD100">
        <v>23</v>
      </c>
      <c r="AE100" s="6">
        <f>AD100/AD109</f>
        <v>0.38983050847457629</v>
      </c>
      <c r="AF100" s="6">
        <f>23/$AF$3</f>
        <v>0.11616161616161616</v>
      </c>
      <c r="AH100">
        <v>11</v>
      </c>
      <c r="AI100" s="6">
        <f>AH100/AH109</f>
        <v>0.14285714285714285</v>
      </c>
      <c r="AJ100" s="6">
        <f>11/$AJ$3</f>
        <v>4.4534412955465584E-2</v>
      </c>
      <c r="AL100">
        <v>24</v>
      </c>
      <c r="AM100" s="6">
        <f>AL100/AL109</f>
        <v>0.27586206896551724</v>
      </c>
      <c r="AN100" s="6">
        <f>24/$AN$3</f>
        <v>0.10344827586206896</v>
      </c>
      <c r="AP100">
        <v>16</v>
      </c>
      <c r="AQ100" s="6">
        <f>AP100/AP109</f>
        <v>0.26229508196721313</v>
      </c>
      <c r="AR100" s="6">
        <f>16/$AR$3</f>
        <v>8.6021505376344093E-2</v>
      </c>
      <c r="AT100">
        <v>3</v>
      </c>
      <c r="AU100" s="6">
        <f>AT100/AT109</f>
        <v>9.375E-2</v>
      </c>
      <c r="AV100" s="8">
        <f>3/$AV$3</f>
        <v>2.4193548387096774E-2</v>
      </c>
      <c r="AX100">
        <v>33</v>
      </c>
      <c r="AY100" s="6">
        <f>AX100/AX109</f>
        <v>0.22</v>
      </c>
      <c r="AZ100" s="6">
        <f>33/$AZ$3</f>
        <v>7.6744186046511634E-2</v>
      </c>
      <c r="BB100">
        <v>39</v>
      </c>
      <c r="BC100" s="6">
        <f>BB100/BB109</f>
        <v>0.29770992366412213</v>
      </c>
      <c r="BD100" s="6">
        <f>39/$BD$3</f>
        <v>9.11214953271028E-2</v>
      </c>
      <c r="BF100">
        <v>16</v>
      </c>
      <c r="BG100" s="6">
        <f>BF100/BF109</f>
        <v>0.22857142857142856</v>
      </c>
      <c r="BH100" s="6">
        <f>16/$BH$3</f>
        <v>6.6115702479338845E-2</v>
      </c>
      <c r="BJ100">
        <v>34</v>
      </c>
      <c r="BK100" s="6">
        <f>BJ100/BJ109</f>
        <v>0.27200000000000002</v>
      </c>
      <c r="BL100" s="6">
        <f>34/$BL$3</f>
        <v>8.4367245657568243E-2</v>
      </c>
      <c r="BN100">
        <v>32</v>
      </c>
      <c r="BO100" s="6">
        <f>BN100/BN109</f>
        <v>0.24242424242424243</v>
      </c>
      <c r="BP100" s="6">
        <f>32/$BP$3</f>
        <v>7.5650118203309691E-2</v>
      </c>
      <c r="BR100">
        <v>22</v>
      </c>
      <c r="BS100" s="6">
        <f>BR100/BR109</f>
        <v>0.23404255319148937</v>
      </c>
      <c r="BT100" s="6">
        <f>22/$BT$3</f>
        <v>8.0291970802919707E-2</v>
      </c>
      <c r="BV100">
        <v>28</v>
      </c>
      <c r="BW100" s="6">
        <f>BV100/BV109</f>
        <v>0.28865979381443296</v>
      </c>
      <c r="BX100" s="6">
        <f>28/$BX$3</f>
        <v>9.1803278688524587E-2</v>
      </c>
      <c r="BZ100">
        <v>20</v>
      </c>
      <c r="CA100" s="6">
        <f>BZ100/BZ109</f>
        <v>0.22727272727272727</v>
      </c>
      <c r="CB100" s="6">
        <f>20/$CB$3</f>
        <v>8.9285714285714288E-2</v>
      </c>
      <c r="CD100">
        <v>14</v>
      </c>
      <c r="CE100" s="6">
        <f>CD100/CD109</f>
        <v>0.19178082191780821</v>
      </c>
      <c r="CF100" s="6">
        <f>14/$CF$3</f>
        <v>5.8091286307053944E-2</v>
      </c>
      <c r="CH100">
        <v>26</v>
      </c>
      <c r="CI100" s="6">
        <f>CH100/CH109</f>
        <v>0.27956989247311825</v>
      </c>
      <c r="CJ100" s="6">
        <f>26/$CJ$3</f>
        <v>7.8787878787878782E-2</v>
      </c>
    </row>
    <row r="101" spans="1:88" x14ac:dyDescent="0.35">
      <c r="A101" s="1" t="s">
        <v>468</v>
      </c>
      <c r="B101">
        <v>100</v>
      </c>
      <c r="C101" s="6">
        <f>B101/B109</f>
        <v>0.28490028490028491</v>
      </c>
      <c r="D101" s="6">
        <f>100/$D$3</f>
        <v>9.0909090909090912E-2</v>
      </c>
      <c r="F101">
        <v>94</v>
      </c>
      <c r="G101" s="6">
        <f>F101/F109</f>
        <v>0.2857142857142857</v>
      </c>
      <c r="H101" s="6">
        <f>94/$H$3</f>
        <v>0.10318331503841932</v>
      </c>
      <c r="J101">
        <v>100</v>
      </c>
      <c r="K101" s="6">
        <f>J101/J109</f>
        <v>0.28490028490028491</v>
      </c>
      <c r="L101" s="6">
        <f>100/$L$3</f>
        <v>0.2304147465437788</v>
      </c>
      <c r="N101">
        <v>0</v>
      </c>
      <c r="O101" s="6">
        <v>0</v>
      </c>
      <c r="P101" s="8">
        <f t="shared" si="0"/>
        <v>0</v>
      </c>
      <c r="R101">
        <v>62</v>
      </c>
      <c r="S101" s="6">
        <f>R101/R109</f>
        <v>0.29523809523809524</v>
      </c>
      <c r="T101" s="6">
        <f>62/$T$3</f>
        <v>0.11071428571428571</v>
      </c>
      <c r="V101">
        <v>38</v>
      </c>
      <c r="W101" s="6">
        <f>V101/V109</f>
        <v>0.26950354609929078</v>
      </c>
      <c r="X101" s="6">
        <f>38/$X$3</f>
        <v>7.0370370370370375E-2</v>
      </c>
      <c r="Z101">
        <v>5</v>
      </c>
      <c r="AA101" s="6">
        <f>Z101/Z109</f>
        <v>0.14285714285714285</v>
      </c>
      <c r="AB101" s="6">
        <f>5/$AB$3</f>
        <v>4.4247787610619468E-2</v>
      </c>
      <c r="AD101">
        <v>12</v>
      </c>
      <c r="AE101" s="6">
        <f>AD101/AD109</f>
        <v>0.20338983050847459</v>
      </c>
      <c r="AF101" s="6">
        <f>12/$AF$3</f>
        <v>6.0606060606060608E-2</v>
      </c>
      <c r="AH101">
        <v>25</v>
      </c>
      <c r="AI101" s="6">
        <f>AH101/AH109</f>
        <v>0.32467532467532467</v>
      </c>
      <c r="AJ101" s="6">
        <f>25/$AJ$3</f>
        <v>0.10121457489878542</v>
      </c>
      <c r="AL101">
        <v>25</v>
      </c>
      <c r="AM101" s="6">
        <f>AL101/AL109</f>
        <v>0.28735632183908044</v>
      </c>
      <c r="AN101" s="6">
        <f>25/$AN$3</f>
        <v>0.10775862068965517</v>
      </c>
      <c r="AP101">
        <v>16</v>
      </c>
      <c r="AQ101" s="6">
        <f>AP101/AP109</f>
        <v>0.26229508196721313</v>
      </c>
      <c r="AR101" s="6">
        <f>16/$AR$3</f>
        <v>8.6021505376344093E-2</v>
      </c>
      <c r="AT101">
        <v>17</v>
      </c>
      <c r="AU101" s="6">
        <f>AT101/AT109</f>
        <v>0.53125</v>
      </c>
      <c r="AV101" s="6">
        <f>17/$AV$3</f>
        <v>0.13709677419354838</v>
      </c>
      <c r="AX101">
        <v>41</v>
      </c>
      <c r="AY101" s="6">
        <f>AX101/AX109</f>
        <v>0.27333333333333332</v>
      </c>
      <c r="AZ101" s="6">
        <f>41/$AZ$3</f>
        <v>9.5348837209302331E-2</v>
      </c>
      <c r="BB101">
        <v>41</v>
      </c>
      <c r="BC101" s="6">
        <f>BB101/BB109</f>
        <v>0.31297709923664124</v>
      </c>
      <c r="BD101" s="6">
        <f>41/$BD$3</f>
        <v>9.5794392523364483E-2</v>
      </c>
      <c r="BF101">
        <v>18</v>
      </c>
      <c r="BG101" s="6">
        <f>BF101/BF109</f>
        <v>0.25714285714285712</v>
      </c>
      <c r="BH101" s="6">
        <f>18/$BH$3</f>
        <v>7.43801652892562E-2</v>
      </c>
      <c r="BJ101">
        <v>35</v>
      </c>
      <c r="BK101" s="6">
        <f>BJ101/BJ109</f>
        <v>0.28000000000000003</v>
      </c>
      <c r="BL101" s="6">
        <f>35/$BL$3</f>
        <v>8.6848635235732011E-2</v>
      </c>
      <c r="BN101">
        <v>43</v>
      </c>
      <c r="BO101" s="6">
        <f>BN101/BN109</f>
        <v>0.32575757575757575</v>
      </c>
      <c r="BP101" s="6">
        <f>43/$BP$3</f>
        <v>0.10165484633569739</v>
      </c>
      <c r="BR101">
        <v>22</v>
      </c>
      <c r="BS101" s="6">
        <f>BR101/BR109</f>
        <v>0.23404255319148937</v>
      </c>
      <c r="BT101" s="6">
        <f>22/$BT$3</f>
        <v>8.0291970802919707E-2</v>
      </c>
      <c r="BV101">
        <v>27</v>
      </c>
      <c r="BW101" s="6">
        <f>BV101/BV109</f>
        <v>0.27835051546391754</v>
      </c>
      <c r="BX101" s="6">
        <f>27/$BX$3</f>
        <v>8.8524590163934422E-2</v>
      </c>
      <c r="BZ101">
        <v>27</v>
      </c>
      <c r="CA101" s="6">
        <f>BZ101/BZ109</f>
        <v>0.30681818181818182</v>
      </c>
      <c r="CB101" s="6">
        <f>27/$CB$3</f>
        <v>0.12053571428571429</v>
      </c>
      <c r="CD101">
        <v>21</v>
      </c>
      <c r="CE101" s="6">
        <f>CD101/CD109</f>
        <v>0.28767123287671231</v>
      </c>
      <c r="CF101" s="6">
        <f>21/$CF$3</f>
        <v>8.7136929460580909E-2</v>
      </c>
      <c r="CH101">
        <v>25</v>
      </c>
      <c r="CI101" s="6">
        <f>CH101/CH109</f>
        <v>0.26881720430107525</v>
      </c>
      <c r="CJ101" s="6">
        <f>25/$CJ$3</f>
        <v>7.575757575757576E-2</v>
      </c>
    </row>
    <row r="102" spans="1:88" x14ac:dyDescent="0.35">
      <c r="A102" s="1" t="s">
        <v>469</v>
      </c>
      <c r="B102">
        <v>54</v>
      </c>
      <c r="C102" s="6">
        <f>B102/B109</f>
        <v>0.15384615384615385</v>
      </c>
      <c r="D102" s="6">
        <f>54/$D$3</f>
        <v>4.9090909090909088E-2</v>
      </c>
      <c r="F102">
        <v>50</v>
      </c>
      <c r="G102" s="6">
        <f>F102/F109</f>
        <v>0.1519756838905775</v>
      </c>
      <c r="H102" s="6">
        <f>50/$H$3</f>
        <v>5.4884742041712405E-2</v>
      </c>
      <c r="J102">
        <v>54</v>
      </c>
      <c r="K102" s="6">
        <f>J102/J109</f>
        <v>0.15384615384615385</v>
      </c>
      <c r="L102" s="6">
        <f>54/$L$3</f>
        <v>0.12442396313364056</v>
      </c>
      <c r="N102">
        <v>0</v>
      </c>
      <c r="O102" s="6">
        <v>0</v>
      </c>
      <c r="P102" s="6">
        <f t="shared" si="0"/>
        <v>0</v>
      </c>
      <c r="R102">
        <v>31</v>
      </c>
      <c r="S102" s="6">
        <f>R102/R109</f>
        <v>0.14761904761904762</v>
      </c>
      <c r="T102" s="6">
        <f>31/$T$3</f>
        <v>5.5357142857142855E-2</v>
      </c>
      <c r="V102">
        <v>23</v>
      </c>
      <c r="W102" s="6">
        <f>V102/V109</f>
        <v>0.16312056737588654</v>
      </c>
      <c r="X102" s="6">
        <f>23/$X$3</f>
        <v>4.2592592592592592E-2</v>
      </c>
      <c r="Z102">
        <v>6</v>
      </c>
      <c r="AA102" s="6">
        <f>Z102/Z109</f>
        <v>0.17142857142857143</v>
      </c>
      <c r="AB102" s="6">
        <f>6/$AB$3</f>
        <v>5.3097345132743362E-2</v>
      </c>
      <c r="AD102">
        <v>8</v>
      </c>
      <c r="AE102" s="6">
        <f>AD102/AD109</f>
        <v>0.13559322033898305</v>
      </c>
      <c r="AF102" s="6">
        <f>8/$AF$3</f>
        <v>4.0404040404040407E-2</v>
      </c>
      <c r="AH102">
        <v>13</v>
      </c>
      <c r="AI102" s="6">
        <f>AH102/AH109</f>
        <v>0.16883116883116883</v>
      </c>
      <c r="AJ102" s="6">
        <f>13/$AJ$3</f>
        <v>5.2631578947368418E-2</v>
      </c>
      <c r="AL102">
        <v>13</v>
      </c>
      <c r="AM102" s="6">
        <f>AL102/AL109</f>
        <v>0.14942528735632185</v>
      </c>
      <c r="AN102" s="6">
        <f>13/$AN$3</f>
        <v>5.6034482758620691E-2</v>
      </c>
      <c r="AP102">
        <v>11</v>
      </c>
      <c r="AQ102" s="6">
        <f>AP102/AP109</f>
        <v>0.18032786885245902</v>
      </c>
      <c r="AR102" s="6">
        <f>11/$AR$3</f>
        <v>5.9139784946236562E-2</v>
      </c>
      <c r="AT102">
        <v>3</v>
      </c>
      <c r="AU102" s="6">
        <f>AT102/AT109</f>
        <v>9.375E-2</v>
      </c>
      <c r="AV102" s="6">
        <f>3/$AV$3</f>
        <v>2.4193548387096774E-2</v>
      </c>
      <c r="AX102">
        <v>27</v>
      </c>
      <c r="AY102" s="6">
        <f>AX102/AX109</f>
        <v>0.18</v>
      </c>
      <c r="AZ102" s="6">
        <f>27/$AZ$3</f>
        <v>6.2790697674418611E-2</v>
      </c>
      <c r="BB102">
        <v>18</v>
      </c>
      <c r="BC102" s="6">
        <f>BB102/BB109</f>
        <v>0.13740458015267176</v>
      </c>
      <c r="BD102" s="6">
        <f>18/$BD$3</f>
        <v>4.2056074766355138E-2</v>
      </c>
      <c r="BF102">
        <v>9</v>
      </c>
      <c r="BG102" s="6">
        <f>BF102/BF109</f>
        <v>0.12857142857142856</v>
      </c>
      <c r="BH102" s="6">
        <f>9/$BH$3</f>
        <v>3.71900826446281E-2</v>
      </c>
      <c r="BJ102">
        <v>17</v>
      </c>
      <c r="BK102" s="6">
        <f>BJ102/BJ109</f>
        <v>0.13600000000000001</v>
      </c>
      <c r="BL102" s="6">
        <f>17/$BL$3</f>
        <v>4.2183622828784122E-2</v>
      </c>
      <c r="BN102">
        <v>20</v>
      </c>
      <c r="BO102" s="6">
        <f>BN102/BN109</f>
        <v>0.15151515151515152</v>
      </c>
      <c r="BP102" s="6">
        <f>20/$BP$3</f>
        <v>4.7281323877068557E-2</v>
      </c>
      <c r="BR102">
        <v>17</v>
      </c>
      <c r="BS102" s="6">
        <f>BR102/BR109</f>
        <v>0.18085106382978725</v>
      </c>
      <c r="BT102" s="6">
        <f>17/$BT$3</f>
        <v>6.2043795620437957E-2</v>
      </c>
      <c r="BV102">
        <v>9</v>
      </c>
      <c r="BW102" s="6">
        <f>BV102/BV109</f>
        <v>9.2783505154639179E-2</v>
      </c>
      <c r="BX102" s="6">
        <f>9/$BX$3</f>
        <v>2.9508196721311476E-2</v>
      </c>
      <c r="BZ102">
        <v>16</v>
      </c>
      <c r="CA102" s="6">
        <f>BZ102/BZ109</f>
        <v>0.18181818181818182</v>
      </c>
      <c r="CB102" s="6">
        <f>16/$CB$3</f>
        <v>7.1428571428571425E-2</v>
      </c>
      <c r="CD102">
        <v>13</v>
      </c>
      <c r="CE102" s="6">
        <f>CD102/CD109</f>
        <v>0.17808219178082191</v>
      </c>
      <c r="CF102" s="6">
        <f>13/$CF$3</f>
        <v>5.3941908713692949E-2</v>
      </c>
      <c r="CH102">
        <v>16</v>
      </c>
      <c r="CI102" s="6">
        <f>CH102/CH109</f>
        <v>0.17204301075268819</v>
      </c>
      <c r="CJ102" s="6">
        <f>16/$CJ$3</f>
        <v>4.8484848484848485E-2</v>
      </c>
    </row>
    <row r="103" spans="1:88" x14ac:dyDescent="0.35">
      <c r="A103" s="1" t="s">
        <v>470</v>
      </c>
      <c r="B103">
        <v>11</v>
      </c>
      <c r="C103" s="6">
        <f>B103/B109</f>
        <v>3.1339031339031341E-2</v>
      </c>
      <c r="D103" s="6">
        <f>11/$D$3</f>
        <v>0.01</v>
      </c>
      <c r="F103">
        <v>11</v>
      </c>
      <c r="G103" s="6">
        <f>F103/F109</f>
        <v>3.3434650455927049E-2</v>
      </c>
      <c r="H103" s="6">
        <f>11/$H$3</f>
        <v>1.2074643249176729E-2</v>
      </c>
      <c r="J103">
        <v>11</v>
      </c>
      <c r="K103" s="6">
        <f>J103/J109</f>
        <v>3.1339031339031341E-2</v>
      </c>
      <c r="L103" s="6">
        <f>11/$L$3</f>
        <v>2.5345622119815669E-2</v>
      </c>
      <c r="N103">
        <v>0</v>
      </c>
      <c r="O103" s="6">
        <v>0</v>
      </c>
      <c r="P103" s="6">
        <f t="shared" si="0"/>
        <v>0</v>
      </c>
      <c r="R103">
        <v>7</v>
      </c>
      <c r="S103" s="6">
        <f>R103/R109</f>
        <v>3.3333333333333333E-2</v>
      </c>
      <c r="T103" s="6">
        <f>7/$T$3</f>
        <v>1.2500000000000001E-2</v>
      </c>
      <c r="V103">
        <v>4</v>
      </c>
      <c r="W103" s="6">
        <f>V103/V109</f>
        <v>2.8368794326241134E-2</v>
      </c>
      <c r="X103" s="6">
        <f>4/$X$3</f>
        <v>7.4074074074074077E-3</v>
      </c>
      <c r="Z103">
        <v>1</v>
      </c>
      <c r="AA103" s="6">
        <f>Z103/Z109</f>
        <v>2.8571428571428571E-2</v>
      </c>
      <c r="AB103" s="6">
        <f>1/$AB$3</f>
        <v>8.8495575221238937E-3</v>
      </c>
      <c r="AD103">
        <v>1</v>
      </c>
      <c r="AE103" s="6">
        <f>AD103/AD109</f>
        <v>1.6949152542372881E-2</v>
      </c>
      <c r="AF103" s="6">
        <f>1/$AF$3</f>
        <v>5.0505050505050509E-3</v>
      </c>
      <c r="AH103">
        <v>6</v>
      </c>
      <c r="AI103" s="6">
        <f>AH103/AH109</f>
        <v>7.792207792207792E-2</v>
      </c>
      <c r="AJ103" s="6">
        <f>6/$AJ$3</f>
        <v>2.4291497975708502E-2</v>
      </c>
      <c r="AL103">
        <v>2</v>
      </c>
      <c r="AM103" s="6">
        <f>AL103/AL109</f>
        <v>2.2988505747126436E-2</v>
      </c>
      <c r="AN103" s="6">
        <f>2/$AN$3</f>
        <v>8.6206896551724137E-3</v>
      </c>
      <c r="AP103">
        <v>0</v>
      </c>
      <c r="AQ103" s="6">
        <f>AP103/AP109</f>
        <v>0</v>
      </c>
      <c r="AR103" s="6">
        <f>0/$AR$3</f>
        <v>0</v>
      </c>
      <c r="AT103">
        <v>1</v>
      </c>
      <c r="AU103" s="6">
        <f>AT103/AT109</f>
        <v>3.125E-2</v>
      </c>
      <c r="AV103" s="6">
        <f>1/$AV$3</f>
        <v>8.0645161290322578E-3</v>
      </c>
      <c r="AX103">
        <v>5</v>
      </c>
      <c r="AY103" s="6">
        <f>AX103/AX109</f>
        <v>3.3333333333333333E-2</v>
      </c>
      <c r="AZ103" s="6">
        <f>5/$AZ$3</f>
        <v>1.1627906976744186E-2</v>
      </c>
      <c r="BB103">
        <v>6</v>
      </c>
      <c r="BC103" s="6">
        <f>BB103/BB109</f>
        <v>4.5801526717557252E-2</v>
      </c>
      <c r="BD103" s="6">
        <f>6/$BD$3</f>
        <v>1.4018691588785047E-2</v>
      </c>
      <c r="BF103">
        <v>0</v>
      </c>
      <c r="BG103" s="6">
        <f>BF103/BF109</f>
        <v>0</v>
      </c>
      <c r="BH103" s="6">
        <f>0/$BH$3</f>
        <v>0</v>
      </c>
      <c r="BJ103">
        <v>4</v>
      </c>
      <c r="BK103" s="6">
        <f>BJ103/BJ109</f>
        <v>3.2000000000000001E-2</v>
      </c>
      <c r="BL103" s="6">
        <f>4/$BL$3</f>
        <v>9.9255583126550868E-3</v>
      </c>
      <c r="BN103">
        <v>3</v>
      </c>
      <c r="BO103" s="6">
        <f>BN103/BN109</f>
        <v>2.2727272727272728E-2</v>
      </c>
      <c r="BP103" s="6">
        <f>3/$BP$3</f>
        <v>7.0921985815602835E-3</v>
      </c>
      <c r="BR103">
        <v>4</v>
      </c>
      <c r="BS103" s="6">
        <f>BR103/BR109</f>
        <v>4.2553191489361701E-2</v>
      </c>
      <c r="BT103" s="6">
        <f>4/$BT$3</f>
        <v>1.4598540145985401E-2</v>
      </c>
      <c r="BV103">
        <v>5</v>
      </c>
      <c r="BW103" s="6">
        <f>BV103/BV109</f>
        <v>5.1546391752577317E-2</v>
      </c>
      <c r="BX103" s="6">
        <f>5/$BX$3</f>
        <v>1.6393442622950821E-2</v>
      </c>
      <c r="BZ103">
        <v>3</v>
      </c>
      <c r="CA103" s="6">
        <f>BZ103/BZ109</f>
        <v>3.4090909090909088E-2</v>
      </c>
      <c r="CB103" s="6">
        <f>3/$CB$3</f>
        <v>1.3392857142857142E-2</v>
      </c>
      <c r="CD103">
        <v>1</v>
      </c>
      <c r="CE103" s="6">
        <f>CD103/CD109</f>
        <v>1.3698630136986301E-2</v>
      </c>
      <c r="CF103" s="6">
        <f>1/$CF$3</f>
        <v>4.1493775933609959E-3</v>
      </c>
      <c r="CH103">
        <v>2</v>
      </c>
      <c r="CI103" s="6">
        <f>CH103/CH109</f>
        <v>2.1505376344086023E-2</v>
      </c>
      <c r="CJ103" s="6">
        <f>2/$CJ$3</f>
        <v>6.0606060606060606E-3</v>
      </c>
    </row>
    <row r="104" spans="1:88" x14ac:dyDescent="0.35">
      <c r="A104" s="1" t="s">
        <v>471</v>
      </c>
      <c r="B104">
        <v>9</v>
      </c>
      <c r="C104" s="6">
        <f>B104/B109</f>
        <v>2.564102564102564E-2</v>
      </c>
      <c r="D104" s="6">
        <f>9/$D$3</f>
        <v>8.1818181818181825E-3</v>
      </c>
      <c r="F104">
        <v>8</v>
      </c>
      <c r="G104" s="6">
        <f>F104/F109</f>
        <v>2.4316109422492401E-2</v>
      </c>
      <c r="H104" s="6">
        <f>8/$H$3</f>
        <v>8.7815587266739849E-3</v>
      </c>
      <c r="J104">
        <v>9</v>
      </c>
      <c r="K104" s="6">
        <f>J104/J109</f>
        <v>2.564102564102564E-2</v>
      </c>
      <c r="L104" s="6">
        <f>9/$L$3</f>
        <v>2.0737327188940093E-2</v>
      </c>
      <c r="N104">
        <v>0</v>
      </c>
      <c r="O104" s="6">
        <v>0</v>
      </c>
      <c r="P104" s="6">
        <f t="shared" si="0"/>
        <v>0</v>
      </c>
      <c r="R104">
        <v>6</v>
      </c>
      <c r="S104" s="6">
        <f>R104/R109</f>
        <v>2.8571428571428571E-2</v>
      </c>
      <c r="T104" s="6">
        <f>6/$T$3</f>
        <v>1.0714285714285714E-2</v>
      </c>
      <c r="V104">
        <v>3</v>
      </c>
      <c r="W104" s="6">
        <f>V104/V109</f>
        <v>2.1276595744680851E-2</v>
      </c>
      <c r="X104" s="6">
        <f>3/$X$3</f>
        <v>5.5555555555555558E-3</v>
      </c>
      <c r="Z104">
        <v>1</v>
      </c>
      <c r="AA104" s="6">
        <f>Z104/Z109</f>
        <v>2.8571428571428571E-2</v>
      </c>
      <c r="AB104" s="6">
        <f>1/$AB$3</f>
        <v>8.8495575221238937E-3</v>
      </c>
      <c r="AD104">
        <v>1</v>
      </c>
      <c r="AE104" s="6">
        <f>AD104/AD109</f>
        <v>1.6949152542372881E-2</v>
      </c>
      <c r="AF104" s="6">
        <f>1/$AF$3</f>
        <v>5.0505050505050509E-3</v>
      </c>
      <c r="AH104">
        <v>2</v>
      </c>
      <c r="AI104" s="6">
        <f>AH104/AH109</f>
        <v>2.5974025974025976E-2</v>
      </c>
      <c r="AJ104" s="6">
        <f>2/$AJ$3</f>
        <v>8.0971659919028341E-3</v>
      </c>
      <c r="AL104">
        <v>2</v>
      </c>
      <c r="AM104" s="6">
        <f>AL104/AL109</f>
        <v>2.2988505747126436E-2</v>
      </c>
      <c r="AN104" s="6">
        <f>2/$AN$3</f>
        <v>8.6206896551724137E-3</v>
      </c>
      <c r="AP104">
        <v>2</v>
      </c>
      <c r="AQ104" s="6">
        <f>AP104/AP109</f>
        <v>3.2786885245901641E-2</v>
      </c>
      <c r="AR104" s="6">
        <f>2/$AR$3</f>
        <v>1.0752688172043012E-2</v>
      </c>
      <c r="AT104">
        <v>1</v>
      </c>
      <c r="AU104" s="6">
        <f>AT104/AT109</f>
        <v>3.125E-2</v>
      </c>
      <c r="AV104" s="6">
        <f>1/$AV$3</f>
        <v>8.0645161290322578E-3</v>
      </c>
      <c r="AX104">
        <v>1</v>
      </c>
      <c r="AY104" s="6">
        <f>AX104/AX109</f>
        <v>6.6666666666666671E-3</v>
      </c>
      <c r="AZ104" s="6">
        <f>1/$AZ$3</f>
        <v>2.3255813953488372E-3</v>
      </c>
      <c r="BB104">
        <v>2</v>
      </c>
      <c r="BC104" s="6">
        <f>BB104/BB109</f>
        <v>1.5267175572519083E-2</v>
      </c>
      <c r="BD104" s="6">
        <f>2/$BD$3</f>
        <v>4.6728971962616819E-3</v>
      </c>
      <c r="BF104">
        <v>6</v>
      </c>
      <c r="BG104" s="6">
        <f>BF104/BF109</f>
        <v>8.5714285714285715E-2</v>
      </c>
      <c r="BH104" s="6">
        <f>6/$BH$3</f>
        <v>2.4793388429752067E-2</v>
      </c>
      <c r="BJ104">
        <v>2</v>
      </c>
      <c r="BK104" s="6">
        <f>BJ104/BJ109</f>
        <v>1.6E-2</v>
      </c>
      <c r="BL104" s="6">
        <f>2/$BL$3</f>
        <v>4.9627791563275434E-3</v>
      </c>
      <c r="BN104">
        <v>2</v>
      </c>
      <c r="BO104" s="6">
        <f>BN104/BN109</f>
        <v>1.5151515151515152E-2</v>
      </c>
      <c r="BP104" s="6">
        <f>2/$BP$3</f>
        <v>4.7281323877068557E-3</v>
      </c>
      <c r="BR104">
        <v>5</v>
      </c>
      <c r="BS104" s="6">
        <f>BR104/BR109</f>
        <v>5.3191489361702128E-2</v>
      </c>
      <c r="BT104" s="6">
        <f>5/$BT$3</f>
        <v>1.824817518248175E-2</v>
      </c>
      <c r="BV104">
        <v>1</v>
      </c>
      <c r="BW104" s="6">
        <f>BV104/BV109</f>
        <v>1.0309278350515464E-2</v>
      </c>
      <c r="BX104" s="6">
        <f>1/$BX$3</f>
        <v>3.2786885245901639E-3</v>
      </c>
      <c r="BZ104">
        <v>3</v>
      </c>
      <c r="CA104" s="6">
        <f>BZ104/BZ109</f>
        <v>3.4090909090909088E-2</v>
      </c>
      <c r="CB104" s="6">
        <f>3/$CB$3</f>
        <v>1.3392857142857142E-2</v>
      </c>
      <c r="CD104">
        <v>1</v>
      </c>
      <c r="CE104" s="6">
        <f>CD104/CD109</f>
        <v>1.3698630136986301E-2</v>
      </c>
      <c r="CF104" s="6">
        <f>1/$CF$3</f>
        <v>4.1493775933609959E-3</v>
      </c>
      <c r="CH104">
        <v>4</v>
      </c>
      <c r="CI104" s="6">
        <f>CH104/CH109</f>
        <v>4.3010752688172046E-2</v>
      </c>
      <c r="CJ104" s="6">
        <f>4/$CJ$3</f>
        <v>1.2121212121212121E-2</v>
      </c>
    </row>
    <row r="105" spans="1:88" x14ac:dyDescent="0.35">
      <c r="A105" s="1" t="s">
        <v>472</v>
      </c>
      <c r="B105">
        <v>6</v>
      </c>
      <c r="C105" s="6">
        <f>B105/B109</f>
        <v>1.7094017094017096E-2</v>
      </c>
      <c r="D105" s="6">
        <f>6/$D$3</f>
        <v>5.454545454545455E-3</v>
      </c>
      <c r="F105">
        <v>6</v>
      </c>
      <c r="G105" s="6">
        <f>F105/F109</f>
        <v>1.82370820668693E-2</v>
      </c>
      <c r="H105" s="6">
        <f>6/$H$3</f>
        <v>6.5861690450054883E-3</v>
      </c>
      <c r="J105">
        <v>6</v>
      </c>
      <c r="K105" s="6">
        <f>J105/J109</f>
        <v>1.7094017094017096E-2</v>
      </c>
      <c r="L105" s="6">
        <f>6/$L$3</f>
        <v>1.3824884792626729E-2</v>
      </c>
      <c r="N105">
        <v>0</v>
      </c>
      <c r="O105" s="6">
        <v>0</v>
      </c>
      <c r="P105" s="6">
        <f t="shared" si="0"/>
        <v>0</v>
      </c>
      <c r="R105">
        <v>3</v>
      </c>
      <c r="S105" s="6">
        <f>R105/R109</f>
        <v>1.4285714285714285E-2</v>
      </c>
      <c r="T105" s="6">
        <f>3/$T$3</f>
        <v>5.3571428571428572E-3</v>
      </c>
      <c r="V105">
        <v>3</v>
      </c>
      <c r="W105" s="6">
        <f>V105/V109</f>
        <v>2.1276595744680851E-2</v>
      </c>
      <c r="X105" s="6">
        <f>3/$X$3</f>
        <v>5.5555555555555558E-3</v>
      </c>
      <c r="Z105">
        <v>1</v>
      </c>
      <c r="AA105" s="6">
        <f>Z105/Z109</f>
        <v>2.8571428571428571E-2</v>
      </c>
      <c r="AB105" s="6">
        <f>1/$AB$3</f>
        <v>8.8495575221238937E-3</v>
      </c>
      <c r="AD105">
        <v>1</v>
      </c>
      <c r="AE105" s="6">
        <f>AD105/AD109</f>
        <v>1.6949152542372881E-2</v>
      </c>
      <c r="AF105" s="6">
        <f>1/$AF$3</f>
        <v>5.0505050505050509E-3</v>
      </c>
      <c r="AH105">
        <v>0</v>
      </c>
      <c r="AI105" s="6">
        <f>AH105/AH109</f>
        <v>0</v>
      </c>
      <c r="AJ105" s="6">
        <f>0/$AJ$3</f>
        <v>0</v>
      </c>
      <c r="AL105">
        <v>1</v>
      </c>
      <c r="AM105" s="6">
        <f>AL105/AL109</f>
        <v>1.1494252873563218E-2</v>
      </c>
      <c r="AN105" s="6">
        <f>1/$AN$3</f>
        <v>4.3103448275862068E-3</v>
      </c>
      <c r="AP105">
        <v>3</v>
      </c>
      <c r="AQ105" s="6">
        <f>AP105/AP109</f>
        <v>4.9180327868852458E-2</v>
      </c>
      <c r="AR105" s="6">
        <f>3/$AR$3</f>
        <v>1.6129032258064516E-2</v>
      </c>
      <c r="AT105">
        <v>0</v>
      </c>
      <c r="AU105" s="6">
        <f>AT105/AT109</f>
        <v>0</v>
      </c>
      <c r="AV105" s="6">
        <f>0/$AV$3</f>
        <v>0</v>
      </c>
      <c r="AX105">
        <v>3</v>
      </c>
      <c r="AY105" s="6">
        <f>AX105/AX109</f>
        <v>0.02</v>
      </c>
      <c r="AZ105" s="6">
        <f>3/$AZ$3</f>
        <v>6.9767441860465115E-3</v>
      </c>
      <c r="BB105">
        <v>2</v>
      </c>
      <c r="BC105" s="6">
        <f>BB105/BB109</f>
        <v>1.5267175572519083E-2</v>
      </c>
      <c r="BD105" s="6">
        <f>2/$BD$3</f>
        <v>4.6728971962616819E-3</v>
      </c>
      <c r="BF105">
        <v>1</v>
      </c>
      <c r="BG105" s="6">
        <f>BF105/BF109</f>
        <v>1.4285714285714285E-2</v>
      </c>
      <c r="BH105" s="6">
        <f>1/$BH$3</f>
        <v>4.1322314049586778E-3</v>
      </c>
      <c r="BJ105">
        <v>2</v>
      </c>
      <c r="BK105" s="6">
        <f>BJ105/BJ109</f>
        <v>1.6E-2</v>
      </c>
      <c r="BL105" s="6">
        <f>2/$BL$3</f>
        <v>4.9627791563275434E-3</v>
      </c>
      <c r="BN105">
        <v>1</v>
      </c>
      <c r="BO105" s="6">
        <f>BN105/BN109</f>
        <v>7.575757575757576E-3</v>
      </c>
      <c r="BP105" s="6">
        <f>1/$BP$3</f>
        <v>2.3640661938534278E-3</v>
      </c>
      <c r="BR105">
        <v>3</v>
      </c>
      <c r="BS105" s="6">
        <f>BR105/BR109</f>
        <v>3.1914893617021274E-2</v>
      </c>
      <c r="BT105" s="6">
        <f>3/$BT$3</f>
        <v>1.0948905109489052E-2</v>
      </c>
      <c r="BV105">
        <v>2</v>
      </c>
      <c r="BW105" s="6">
        <f>BV105/BV109</f>
        <v>2.0618556701030927E-2</v>
      </c>
      <c r="BX105" s="6">
        <f>2/$BX$3</f>
        <v>6.5573770491803279E-3</v>
      </c>
      <c r="BZ105">
        <v>1</v>
      </c>
      <c r="CA105" s="6">
        <f>BZ105/BZ109</f>
        <v>1.1363636363636364E-2</v>
      </c>
      <c r="CB105" s="6">
        <f>1/$CB$3</f>
        <v>4.464285714285714E-3</v>
      </c>
      <c r="CD105">
        <v>2</v>
      </c>
      <c r="CE105" s="6">
        <f>CD105/CD109</f>
        <v>2.7397260273972601E-2</v>
      </c>
      <c r="CF105" s="6">
        <f>2/$CF$3</f>
        <v>8.2987551867219917E-3</v>
      </c>
      <c r="CH105">
        <v>1</v>
      </c>
      <c r="CI105" s="6">
        <f>CH105/CH109</f>
        <v>1.0752688172043012E-2</v>
      </c>
      <c r="CJ105" s="6">
        <f>1/$CJ$3</f>
        <v>3.0303030303030303E-3</v>
      </c>
    </row>
    <row r="106" spans="1:88" x14ac:dyDescent="0.35">
      <c r="A106" s="1" t="s">
        <v>473</v>
      </c>
      <c r="B106">
        <v>2</v>
      </c>
      <c r="C106" s="6">
        <f>B106/B109</f>
        <v>5.6980056980056983E-3</v>
      </c>
      <c r="D106" s="6">
        <f>2/$D$3</f>
        <v>1.8181818181818182E-3</v>
      </c>
      <c r="F106">
        <v>2</v>
      </c>
      <c r="G106" s="6">
        <f>F106/F109</f>
        <v>6.0790273556231003E-3</v>
      </c>
      <c r="H106" s="6">
        <f>2/$H$3</f>
        <v>2.1953896816684962E-3</v>
      </c>
      <c r="J106">
        <v>2</v>
      </c>
      <c r="K106" s="6">
        <f>J106/J109</f>
        <v>5.6980056980056983E-3</v>
      </c>
      <c r="L106" s="6">
        <f>2/$L$3</f>
        <v>4.608294930875576E-3</v>
      </c>
      <c r="N106">
        <v>0</v>
      </c>
      <c r="O106" s="6">
        <v>0</v>
      </c>
      <c r="P106" s="6">
        <f t="shared" si="0"/>
        <v>0</v>
      </c>
      <c r="R106">
        <v>2</v>
      </c>
      <c r="S106" s="6">
        <f>R106/R109</f>
        <v>9.5238095238095247E-3</v>
      </c>
      <c r="T106" s="6">
        <f>2/$T$3</f>
        <v>3.5714285714285713E-3</v>
      </c>
      <c r="V106">
        <v>0</v>
      </c>
      <c r="W106" s="6">
        <f>V106/V109</f>
        <v>0</v>
      </c>
      <c r="X106" s="6">
        <f>0/$X$3</f>
        <v>0</v>
      </c>
      <c r="Z106">
        <v>0</v>
      </c>
      <c r="AA106" s="6">
        <f>Z106/Z109</f>
        <v>0</v>
      </c>
      <c r="AB106" s="6">
        <f>0/$AB$3</f>
        <v>0</v>
      </c>
      <c r="AD106">
        <v>0</v>
      </c>
      <c r="AE106" s="6">
        <f>AD106/AD109</f>
        <v>0</v>
      </c>
      <c r="AF106" s="6">
        <f>0/$AF$3</f>
        <v>0</v>
      </c>
      <c r="AH106">
        <v>1</v>
      </c>
      <c r="AI106" s="6">
        <f>AH106/AH109</f>
        <v>1.2987012987012988E-2</v>
      </c>
      <c r="AJ106" s="6">
        <f>1/$AJ$3</f>
        <v>4.048582995951417E-3</v>
      </c>
      <c r="AL106">
        <v>1</v>
      </c>
      <c r="AM106" s="6">
        <f>AL106/AL109</f>
        <v>1.1494252873563218E-2</v>
      </c>
      <c r="AN106" s="6">
        <f>1/$AN$3</f>
        <v>4.3103448275862068E-3</v>
      </c>
      <c r="AP106">
        <v>0</v>
      </c>
      <c r="AQ106" s="6">
        <f>AP106/AP109</f>
        <v>0</v>
      </c>
      <c r="AR106" s="6">
        <f>0/$AR$3</f>
        <v>0</v>
      </c>
      <c r="AT106">
        <v>0</v>
      </c>
      <c r="AU106" s="6">
        <f>AT106/AT109</f>
        <v>0</v>
      </c>
      <c r="AV106" s="6">
        <f>0/$AV$3</f>
        <v>0</v>
      </c>
      <c r="AX106">
        <v>1</v>
      </c>
      <c r="AY106" s="6">
        <f>AX106/AX109</f>
        <v>6.6666666666666671E-3</v>
      </c>
      <c r="AZ106" s="6">
        <f>1/$AZ$3</f>
        <v>2.3255813953488372E-3</v>
      </c>
      <c r="BB106">
        <v>1</v>
      </c>
      <c r="BC106" s="6">
        <f>BB106/BB109</f>
        <v>7.6335877862595417E-3</v>
      </c>
      <c r="BD106" s="6">
        <f>1/$BD$3</f>
        <v>2.3364485981308409E-3</v>
      </c>
      <c r="BF106">
        <v>0</v>
      </c>
      <c r="BG106" s="6">
        <f>BF106/BF109</f>
        <v>0</v>
      </c>
      <c r="BH106" s="6">
        <f>0/$BH$3</f>
        <v>0</v>
      </c>
      <c r="BJ106">
        <v>1</v>
      </c>
      <c r="BK106" s="6">
        <f>BJ106/BJ109</f>
        <v>8.0000000000000002E-3</v>
      </c>
      <c r="BL106" s="6">
        <f>1/$BL$3</f>
        <v>2.4813895781637717E-3</v>
      </c>
      <c r="BN106">
        <v>1</v>
      </c>
      <c r="BO106" s="6">
        <f>BN106/BN109</f>
        <v>7.575757575757576E-3</v>
      </c>
      <c r="BP106" s="6">
        <f>1/$BP$3</f>
        <v>2.3640661938534278E-3</v>
      </c>
      <c r="BR106">
        <v>0</v>
      </c>
      <c r="BS106" s="6">
        <f>BR106/BR109</f>
        <v>0</v>
      </c>
      <c r="BT106" s="6">
        <f>0/$BT$3</f>
        <v>0</v>
      </c>
      <c r="BV106">
        <v>0</v>
      </c>
      <c r="BW106" s="6">
        <f>BV106/BV109</f>
        <v>0</v>
      </c>
      <c r="BX106" s="6">
        <f>0/$BX$3</f>
        <v>0</v>
      </c>
      <c r="BZ106">
        <v>0</v>
      </c>
      <c r="CA106" s="6">
        <f>BZ106/BZ109</f>
        <v>0</v>
      </c>
      <c r="CB106" s="6">
        <f>0/$CB$3</f>
        <v>0</v>
      </c>
      <c r="CD106">
        <v>2</v>
      </c>
      <c r="CE106" s="6">
        <f>CD106/CD109</f>
        <v>2.7397260273972601E-2</v>
      </c>
      <c r="CF106" s="6">
        <f>2/$CF$3</f>
        <v>8.2987551867219917E-3</v>
      </c>
      <c r="CH106">
        <v>0</v>
      </c>
      <c r="CI106" s="6">
        <f>CH106/CH109</f>
        <v>0</v>
      </c>
      <c r="CJ106" s="6">
        <f>0/$CJ$3</f>
        <v>0</v>
      </c>
    </row>
    <row r="107" spans="1:88" x14ac:dyDescent="0.35">
      <c r="A107" s="1" t="s">
        <v>474</v>
      </c>
      <c r="B107">
        <v>2</v>
      </c>
      <c r="C107" s="6">
        <f>B107/B109</f>
        <v>5.6980056980056983E-3</v>
      </c>
      <c r="D107" s="6">
        <f>2/$D$3</f>
        <v>1.8181818181818182E-3</v>
      </c>
      <c r="F107">
        <v>2</v>
      </c>
      <c r="G107" s="6">
        <f>F107/F109</f>
        <v>6.0790273556231003E-3</v>
      </c>
      <c r="H107" s="6">
        <f>2/$H$3</f>
        <v>2.1953896816684962E-3</v>
      </c>
      <c r="J107">
        <v>2</v>
      </c>
      <c r="K107" s="6">
        <f>J107/J109</f>
        <v>5.6980056980056983E-3</v>
      </c>
      <c r="L107" s="6">
        <f>2/$L$3</f>
        <v>4.608294930875576E-3</v>
      </c>
      <c r="N107">
        <v>0</v>
      </c>
      <c r="O107" s="6">
        <v>0</v>
      </c>
      <c r="P107" s="6">
        <f t="shared" si="0"/>
        <v>0</v>
      </c>
      <c r="R107">
        <v>2</v>
      </c>
      <c r="S107" s="6">
        <f>R107/R109</f>
        <v>9.5238095238095247E-3</v>
      </c>
      <c r="T107" s="6">
        <f>2/$T$3</f>
        <v>3.5714285714285713E-3</v>
      </c>
      <c r="V107">
        <v>0</v>
      </c>
      <c r="W107" s="6">
        <f>V107/V109</f>
        <v>0</v>
      </c>
      <c r="X107" s="6">
        <f>0/$X$3</f>
        <v>0</v>
      </c>
      <c r="Z107">
        <v>1</v>
      </c>
      <c r="AA107" s="6">
        <f>Z107/Z109</f>
        <v>2.8571428571428571E-2</v>
      </c>
      <c r="AB107" s="6">
        <f>1/$AB$3</f>
        <v>8.8495575221238937E-3</v>
      </c>
      <c r="AD107">
        <v>0</v>
      </c>
      <c r="AE107" s="6">
        <f>AD107/AD109</f>
        <v>0</v>
      </c>
      <c r="AF107" s="6">
        <f>0/$AF$3</f>
        <v>0</v>
      </c>
      <c r="AH107">
        <v>1</v>
      </c>
      <c r="AI107" s="6">
        <f>AH107/AH109</f>
        <v>1.2987012987012988E-2</v>
      </c>
      <c r="AJ107" s="6">
        <f>1/$AJ$3</f>
        <v>4.048582995951417E-3</v>
      </c>
      <c r="AL107">
        <v>0</v>
      </c>
      <c r="AM107" s="6">
        <f>AL107/AL109</f>
        <v>0</v>
      </c>
      <c r="AN107" s="6">
        <f>0/$AN$3</f>
        <v>0</v>
      </c>
      <c r="AP107">
        <v>0</v>
      </c>
      <c r="AQ107" s="6">
        <f>AP107/AP109</f>
        <v>0</v>
      </c>
      <c r="AR107" s="6">
        <f>0/$AR$3</f>
        <v>0</v>
      </c>
      <c r="AT107">
        <v>0</v>
      </c>
      <c r="AU107" s="6">
        <f>AT107/AT109</f>
        <v>0</v>
      </c>
      <c r="AV107" s="6">
        <f>0/$AV$3</f>
        <v>0</v>
      </c>
      <c r="AX107">
        <v>2</v>
      </c>
      <c r="AY107" s="6">
        <f>AX107/AX109</f>
        <v>1.3333333333333334E-2</v>
      </c>
      <c r="AZ107" s="6">
        <f>2/$AZ$3</f>
        <v>4.6511627906976744E-3</v>
      </c>
      <c r="BB107">
        <v>0</v>
      </c>
      <c r="BC107" s="6">
        <f>BB107/BB109</f>
        <v>0</v>
      </c>
      <c r="BD107" s="6">
        <f>0/$BD$3</f>
        <v>0</v>
      </c>
      <c r="BF107">
        <v>0</v>
      </c>
      <c r="BG107" s="6">
        <f>BF107/BF109</f>
        <v>0</v>
      </c>
      <c r="BH107" s="6">
        <f>0/$BH$3</f>
        <v>0</v>
      </c>
      <c r="BJ107">
        <v>1</v>
      </c>
      <c r="BK107" s="6">
        <f>BJ107/BJ109</f>
        <v>8.0000000000000002E-3</v>
      </c>
      <c r="BL107" s="6">
        <f>1/$BL$3</f>
        <v>2.4813895781637717E-3</v>
      </c>
      <c r="BN107">
        <v>1</v>
      </c>
      <c r="BO107" s="6">
        <f>BN107/BN109</f>
        <v>7.575757575757576E-3</v>
      </c>
      <c r="BP107" s="6">
        <f>1/$BP$3</f>
        <v>2.3640661938534278E-3</v>
      </c>
      <c r="BR107">
        <v>0</v>
      </c>
      <c r="BS107" s="6">
        <f>BR107/BR109</f>
        <v>0</v>
      </c>
      <c r="BT107" s="6">
        <f>0/$BT$3</f>
        <v>0</v>
      </c>
      <c r="BV107">
        <v>0</v>
      </c>
      <c r="BW107" s="6">
        <f>BV107/BV109</f>
        <v>0</v>
      </c>
      <c r="BX107" s="6">
        <f>0/$BX$3</f>
        <v>0</v>
      </c>
      <c r="BZ107">
        <v>0</v>
      </c>
      <c r="CA107" s="6">
        <f>BZ107/BZ109</f>
        <v>0</v>
      </c>
      <c r="CB107" s="6">
        <f>0/$CB$3</f>
        <v>0</v>
      </c>
      <c r="CD107">
        <v>1</v>
      </c>
      <c r="CE107" s="6">
        <f>CD107/CD109</f>
        <v>1.3698630136986301E-2</v>
      </c>
      <c r="CF107" s="6">
        <f>1/$CF$3</f>
        <v>4.1493775933609959E-3</v>
      </c>
      <c r="CH107">
        <v>1</v>
      </c>
      <c r="CI107" s="6">
        <f>CH107/CH109</f>
        <v>1.0752688172043012E-2</v>
      </c>
      <c r="CJ107" s="6">
        <f>1/$CJ$3</f>
        <v>3.0303030303030303E-3</v>
      </c>
    </row>
    <row r="108" spans="1:88" x14ac:dyDescent="0.35">
      <c r="A108" s="1" t="s">
        <v>409</v>
      </c>
      <c r="B108">
        <v>21</v>
      </c>
      <c r="C108" s="6">
        <f>B108/B109</f>
        <v>5.9829059829059832E-2</v>
      </c>
      <c r="D108" s="6">
        <f>21/$D$3</f>
        <v>1.9090909090909092E-2</v>
      </c>
      <c r="F108">
        <v>16</v>
      </c>
      <c r="G108" s="6">
        <f>F108/F109</f>
        <v>4.8632218844984802E-2</v>
      </c>
      <c r="H108" s="6">
        <f>16/$H$3</f>
        <v>1.756311745334797E-2</v>
      </c>
      <c r="J108">
        <v>21</v>
      </c>
      <c r="K108" s="6">
        <f>J108/J109</f>
        <v>5.9829059829059832E-2</v>
      </c>
      <c r="L108" s="6">
        <f>21/$L$3</f>
        <v>4.8387096774193547E-2</v>
      </c>
      <c r="N108">
        <v>0</v>
      </c>
      <c r="O108" s="6">
        <v>0</v>
      </c>
      <c r="P108" s="6">
        <f t="shared" si="0"/>
        <v>0</v>
      </c>
      <c r="R108">
        <v>10</v>
      </c>
      <c r="S108" s="6">
        <f>R108/R109</f>
        <v>4.7619047619047616E-2</v>
      </c>
      <c r="T108" s="6">
        <f>10/$T$3</f>
        <v>1.7857142857142856E-2</v>
      </c>
      <c r="V108">
        <v>11</v>
      </c>
      <c r="W108" s="6">
        <f>V108/V109</f>
        <v>7.8014184397163122E-2</v>
      </c>
      <c r="X108" s="6">
        <f>11/$X$3</f>
        <v>2.0370370370370372E-2</v>
      </c>
      <c r="Z108">
        <v>2</v>
      </c>
      <c r="AA108" s="6">
        <f>Z108/Z109</f>
        <v>5.7142857142857141E-2</v>
      </c>
      <c r="AB108" s="6">
        <f>2/$AB$3</f>
        <v>1.7699115044247787E-2</v>
      </c>
      <c r="AD108">
        <v>4</v>
      </c>
      <c r="AE108" s="6">
        <f>AD108/AD109</f>
        <v>6.7796610169491525E-2</v>
      </c>
      <c r="AF108" s="6">
        <f>4/$AF$3</f>
        <v>2.0202020202020204E-2</v>
      </c>
      <c r="AH108">
        <v>5</v>
      </c>
      <c r="AI108" s="6">
        <f>AH108/AH109</f>
        <v>6.4935064935064929E-2</v>
      </c>
      <c r="AJ108" s="6">
        <f>5/$AJ$3</f>
        <v>2.0242914979757085E-2</v>
      </c>
      <c r="AL108">
        <v>4</v>
      </c>
      <c r="AM108" s="6">
        <f>AL108/AL109</f>
        <v>4.5977011494252873E-2</v>
      </c>
      <c r="AN108" s="6">
        <f>4/$AN$3</f>
        <v>1.7241379310344827E-2</v>
      </c>
      <c r="AP108">
        <v>3</v>
      </c>
      <c r="AQ108" s="6">
        <f>AP108/AP109</f>
        <v>4.9180327868852458E-2</v>
      </c>
      <c r="AR108" s="6">
        <f>3/$AR$3</f>
        <v>1.6129032258064516E-2</v>
      </c>
      <c r="AT108">
        <v>3</v>
      </c>
      <c r="AU108" s="6">
        <f>AT108/AT109</f>
        <v>9.375E-2</v>
      </c>
      <c r="AV108" s="6">
        <f>3/$AV$3</f>
        <v>2.4193548387096774E-2</v>
      </c>
      <c r="AX108">
        <v>8</v>
      </c>
      <c r="AY108" s="6">
        <f>AX108/AX109</f>
        <v>5.3333333333333337E-2</v>
      </c>
      <c r="AZ108" s="6">
        <f>8/$AZ$3</f>
        <v>1.8604651162790697E-2</v>
      </c>
      <c r="BB108">
        <v>8</v>
      </c>
      <c r="BC108" s="6">
        <f>BB108/BB109</f>
        <v>6.1068702290076333E-2</v>
      </c>
      <c r="BD108" s="6">
        <f>8/$BD$3</f>
        <v>1.8691588785046728E-2</v>
      </c>
      <c r="BF108">
        <v>5</v>
      </c>
      <c r="BG108" s="6">
        <f>BF108/BF109</f>
        <v>7.1428571428571425E-2</v>
      </c>
      <c r="BH108" s="6">
        <f>5/$BH$3</f>
        <v>2.0661157024793389E-2</v>
      </c>
      <c r="BJ108">
        <v>10</v>
      </c>
      <c r="BK108" s="6">
        <f>BJ108/BJ109</f>
        <v>0.08</v>
      </c>
      <c r="BL108" s="6">
        <f>10/$BL$3</f>
        <v>2.4813895781637719E-2</v>
      </c>
      <c r="BN108">
        <v>5</v>
      </c>
      <c r="BO108" s="6">
        <f>BN108/BN109</f>
        <v>3.787878787878788E-2</v>
      </c>
      <c r="BP108" s="6">
        <f>5/$BP$3</f>
        <v>1.1820330969267139E-2</v>
      </c>
      <c r="BR108">
        <v>6</v>
      </c>
      <c r="BS108" s="6">
        <f>BR108/BR109</f>
        <v>6.3829787234042548E-2</v>
      </c>
      <c r="BT108" s="6">
        <f>6/$BT$3</f>
        <v>2.1897810218978103E-2</v>
      </c>
      <c r="BV108">
        <v>8</v>
      </c>
      <c r="BW108" s="6">
        <f>BV108/BV109</f>
        <v>8.247422680412371E-2</v>
      </c>
      <c r="BX108" s="6">
        <f>8/$BX$3</f>
        <v>2.6229508196721311E-2</v>
      </c>
      <c r="BZ108">
        <v>5</v>
      </c>
      <c r="CA108" s="6">
        <f>BZ108/BZ109</f>
        <v>5.6818181818181816E-2</v>
      </c>
      <c r="CB108" s="6">
        <f>5/$CB$3</f>
        <v>2.2321428571428572E-2</v>
      </c>
      <c r="CD108">
        <v>2</v>
      </c>
      <c r="CE108" s="6">
        <f>CD108/CD109</f>
        <v>2.7397260273972601E-2</v>
      </c>
      <c r="CF108" s="6">
        <f>2/$CF$3</f>
        <v>8.2987551867219917E-3</v>
      </c>
      <c r="CH108">
        <v>6</v>
      </c>
      <c r="CI108" s="6">
        <f>CH108/CH109</f>
        <v>6.4516129032258063E-2</v>
      </c>
      <c r="CJ108" s="6">
        <f>6/$CJ$3</f>
        <v>1.8181818181818181E-2</v>
      </c>
    </row>
    <row r="109" spans="1:88" s="10" customFormat="1" x14ac:dyDescent="0.35">
      <c r="A109" s="11" t="s">
        <v>411</v>
      </c>
      <c r="B109" s="10">
        <v>351</v>
      </c>
      <c r="F109" s="10">
        <v>329</v>
      </c>
      <c r="J109" s="10">
        <v>351</v>
      </c>
      <c r="N109" s="10">
        <v>0</v>
      </c>
      <c r="R109" s="10">
        <v>210</v>
      </c>
      <c r="V109" s="10">
        <v>141</v>
      </c>
      <c r="Z109" s="10">
        <v>35</v>
      </c>
      <c r="AD109" s="10">
        <v>59</v>
      </c>
      <c r="AH109" s="10">
        <v>77</v>
      </c>
      <c r="AL109" s="10">
        <v>87</v>
      </c>
      <c r="AP109" s="10">
        <v>61</v>
      </c>
      <c r="AT109" s="10">
        <v>32</v>
      </c>
      <c r="AX109" s="10">
        <v>150</v>
      </c>
      <c r="BB109" s="10">
        <v>131</v>
      </c>
      <c r="BF109" s="10">
        <v>70</v>
      </c>
      <c r="BJ109" s="10">
        <v>125</v>
      </c>
      <c r="BN109" s="10">
        <v>132</v>
      </c>
      <c r="BR109" s="10">
        <v>94</v>
      </c>
      <c r="BV109" s="10">
        <v>97</v>
      </c>
      <c r="BZ109" s="10">
        <v>88</v>
      </c>
      <c r="CD109" s="10">
        <v>73</v>
      </c>
      <c r="CH109" s="10">
        <v>93</v>
      </c>
    </row>
    <row r="110" spans="1:88" hidden="1" x14ac:dyDescent="0.35">
      <c r="A110" s="12" t="s">
        <v>412</v>
      </c>
      <c r="B110">
        <v>0</v>
      </c>
      <c r="F110">
        <v>0</v>
      </c>
      <c r="J110">
        <v>0</v>
      </c>
      <c r="N110">
        <v>0</v>
      </c>
      <c r="R110">
        <v>0</v>
      </c>
      <c r="V110">
        <v>0</v>
      </c>
      <c r="Z110">
        <v>0</v>
      </c>
      <c r="AD110">
        <v>0</v>
      </c>
      <c r="AH110">
        <v>0</v>
      </c>
      <c r="AL110">
        <v>0</v>
      </c>
      <c r="AP110">
        <v>0</v>
      </c>
      <c r="AT110">
        <v>0</v>
      </c>
      <c r="AX110">
        <v>0</v>
      </c>
      <c r="BB110">
        <v>0</v>
      </c>
      <c r="BF110">
        <v>0</v>
      </c>
      <c r="BJ110">
        <v>0</v>
      </c>
      <c r="BN110">
        <v>0</v>
      </c>
      <c r="BR110">
        <v>0</v>
      </c>
      <c r="BV110">
        <v>0</v>
      </c>
      <c r="BZ110">
        <v>0</v>
      </c>
      <c r="CD110">
        <v>0</v>
      </c>
      <c r="CH110">
        <v>0</v>
      </c>
    </row>
    <row r="111" spans="1:88" s="13" customFormat="1" x14ac:dyDescent="0.35">
      <c r="A111" s="12" t="s">
        <v>413</v>
      </c>
      <c r="B111" s="13">
        <v>749</v>
      </c>
      <c r="F111" s="13">
        <v>582</v>
      </c>
      <c r="J111" s="13">
        <v>83</v>
      </c>
      <c r="N111" s="13">
        <v>81</v>
      </c>
      <c r="R111" s="13">
        <v>350</v>
      </c>
      <c r="V111" s="13">
        <v>399</v>
      </c>
      <c r="Z111" s="13">
        <v>78</v>
      </c>
      <c r="AD111" s="13">
        <v>139</v>
      </c>
      <c r="AH111" s="13">
        <v>170</v>
      </c>
      <c r="AL111" s="13">
        <v>145</v>
      </c>
      <c r="AP111" s="13">
        <v>125</v>
      </c>
      <c r="AT111" s="13">
        <v>92</v>
      </c>
      <c r="AX111" s="13">
        <v>280</v>
      </c>
      <c r="BB111" s="13">
        <v>297</v>
      </c>
      <c r="BF111" s="13">
        <v>172</v>
      </c>
      <c r="BJ111" s="13">
        <v>278</v>
      </c>
      <c r="BN111" s="13">
        <v>291</v>
      </c>
      <c r="BR111" s="13">
        <v>180</v>
      </c>
      <c r="BV111" s="13">
        <v>208</v>
      </c>
      <c r="BZ111" s="13">
        <v>136</v>
      </c>
      <c r="CD111" s="13">
        <v>168</v>
      </c>
      <c r="CH111" s="13">
        <v>237</v>
      </c>
    </row>
    <row r="113" spans="1:88" x14ac:dyDescent="0.35">
      <c r="AB113" s="2" t="s">
        <v>3</v>
      </c>
      <c r="AF113" s="2" t="s">
        <v>4</v>
      </c>
      <c r="AJ113" s="2" t="s">
        <v>5</v>
      </c>
      <c r="AN113" s="2" t="s">
        <v>6</v>
      </c>
      <c r="AR113" s="2" t="s">
        <v>7</v>
      </c>
      <c r="AV113" s="2" t="s">
        <v>8</v>
      </c>
      <c r="AZ113" s="2" t="s">
        <v>3</v>
      </c>
      <c r="BD113" s="2" t="s">
        <v>4</v>
      </c>
      <c r="BH113" s="2" t="s">
        <v>5</v>
      </c>
      <c r="BL113" s="2" t="s">
        <v>3</v>
      </c>
      <c r="BP113" s="2" t="s">
        <v>4</v>
      </c>
      <c r="BT113" s="2" t="s">
        <v>5</v>
      </c>
      <c r="BX113" s="2" t="s">
        <v>3</v>
      </c>
      <c r="CB113" s="2" t="s">
        <v>4</v>
      </c>
      <c r="CF113" s="2" t="s">
        <v>5</v>
      </c>
      <c r="CJ113" s="2" t="s">
        <v>6</v>
      </c>
    </row>
    <row r="114" spans="1:88" s="3" customFormat="1" x14ac:dyDescent="0.35">
      <c r="A114" s="3" t="s">
        <v>475</v>
      </c>
      <c r="D114" s="5" t="s">
        <v>406</v>
      </c>
      <c r="H114" s="5" t="s">
        <v>406</v>
      </c>
      <c r="L114" s="5" t="s">
        <v>406</v>
      </c>
      <c r="P114" s="5" t="s">
        <v>406</v>
      </c>
      <c r="T114" s="5" t="s">
        <v>406</v>
      </c>
      <c r="X114" s="5" t="s">
        <v>406</v>
      </c>
      <c r="AB114" s="5" t="s">
        <v>406</v>
      </c>
      <c r="AF114" s="5" t="s">
        <v>406</v>
      </c>
      <c r="AJ114" s="5" t="s">
        <v>406</v>
      </c>
      <c r="AN114" s="5" t="s">
        <v>406</v>
      </c>
      <c r="AR114" s="5" t="s">
        <v>406</v>
      </c>
      <c r="AV114" s="5" t="s">
        <v>406</v>
      </c>
      <c r="AZ114" s="5" t="s">
        <v>406</v>
      </c>
      <c r="BD114" s="5" t="s">
        <v>406</v>
      </c>
      <c r="BH114" s="5" t="s">
        <v>406</v>
      </c>
      <c r="BL114" s="5" t="s">
        <v>406</v>
      </c>
      <c r="BP114" s="5" t="s">
        <v>406</v>
      </c>
      <c r="BT114" s="5" t="s">
        <v>406</v>
      </c>
      <c r="BX114" s="5" t="s">
        <v>406</v>
      </c>
      <c r="CB114" s="5" t="s">
        <v>406</v>
      </c>
      <c r="CF114" s="5" t="s">
        <v>406</v>
      </c>
      <c r="CJ114" s="5" t="s">
        <v>406</v>
      </c>
    </row>
    <row r="115" spans="1:88" x14ac:dyDescent="0.35">
      <c r="A115" s="1" t="s">
        <v>476</v>
      </c>
      <c r="B115">
        <v>48</v>
      </c>
      <c r="C115" s="6">
        <f>B115/B121</f>
        <v>0.11059907834101383</v>
      </c>
      <c r="D115" s="6">
        <f>48/$D$3</f>
        <v>4.363636363636364E-2</v>
      </c>
      <c r="F115">
        <v>44</v>
      </c>
      <c r="G115" s="6">
        <f>F115/F121</f>
        <v>0.11083123425692695</v>
      </c>
      <c r="H115" s="6">
        <f>44/$H$3</f>
        <v>4.8298572996706916E-2</v>
      </c>
      <c r="J115">
        <v>48</v>
      </c>
      <c r="K115" s="6">
        <f>J115/J121</f>
        <v>0.11059907834101383</v>
      </c>
      <c r="L115" s="6">
        <f>48/$L$3</f>
        <v>0.11059907834101383</v>
      </c>
      <c r="N115">
        <v>0</v>
      </c>
      <c r="O115" s="6">
        <v>0</v>
      </c>
      <c r="P115" s="6">
        <f t="shared" ref="P115:P120" si="1">0/$P$3</f>
        <v>0</v>
      </c>
      <c r="R115">
        <v>28</v>
      </c>
      <c r="S115" s="6">
        <f>R115/R121</f>
        <v>0.11244979919678715</v>
      </c>
      <c r="T115" s="6">
        <f>28/$T$3</f>
        <v>0.05</v>
      </c>
      <c r="V115">
        <v>20</v>
      </c>
      <c r="W115" s="6">
        <f>V115/V121</f>
        <v>0.10810810810810811</v>
      </c>
      <c r="X115" s="6">
        <f>20/$X$3</f>
        <v>3.7037037037037035E-2</v>
      </c>
      <c r="Z115">
        <v>6</v>
      </c>
      <c r="AA115" s="6">
        <f>Z115/Z121</f>
        <v>0.11538461538461539</v>
      </c>
      <c r="AB115" s="6">
        <f>6/$AB$3</f>
        <v>5.3097345132743362E-2</v>
      </c>
      <c r="AD115">
        <v>10</v>
      </c>
      <c r="AE115" s="6">
        <f>AD115/AD121</f>
        <v>0.125</v>
      </c>
      <c r="AF115" s="6">
        <f>10/$AF$3</f>
        <v>5.0505050505050504E-2</v>
      </c>
      <c r="AH115">
        <v>13</v>
      </c>
      <c r="AI115" s="6">
        <f>AH115/AH121</f>
        <v>0.14130434782608695</v>
      </c>
      <c r="AJ115" s="6">
        <f>13/$AJ$3</f>
        <v>5.2631578947368418E-2</v>
      </c>
      <c r="AL115">
        <v>12</v>
      </c>
      <c r="AM115" s="6">
        <f>AL115/AL121</f>
        <v>0.12</v>
      </c>
      <c r="AN115" s="6">
        <f>12/$AN$3</f>
        <v>5.1724137931034482E-2</v>
      </c>
      <c r="AP115">
        <v>2</v>
      </c>
      <c r="AQ115" s="6">
        <f>AP115/AP121</f>
        <v>2.8169014084507043E-2</v>
      </c>
      <c r="AR115" s="6">
        <f>2/$AR$3</f>
        <v>1.0752688172043012E-2</v>
      </c>
      <c r="AT115">
        <v>5</v>
      </c>
      <c r="AU115" s="6">
        <f>AT115/AT121</f>
        <v>0.12820512820512819</v>
      </c>
      <c r="AV115" s="6">
        <f>5/$AV$3</f>
        <v>4.0322580645161289E-2</v>
      </c>
      <c r="AX115">
        <v>22</v>
      </c>
      <c r="AY115" s="6">
        <f>AX115/AX121</f>
        <v>0.11891891891891893</v>
      </c>
      <c r="AZ115" s="6">
        <f>22/$AZ$3</f>
        <v>5.1162790697674418E-2</v>
      </c>
      <c r="BB115">
        <v>20</v>
      </c>
      <c r="BC115" s="6">
        <f>BB115/BB121</f>
        <v>0.11904761904761904</v>
      </c>
      <c r="BD115" s="6">
        <f>20/$BD$3</f>
        <v>4.6728971962616821E-2</v>
      </c>
      <c r="BF115">
        <v>6</v>
      </c>
      <c r="BG115" s="6">
        <f>BF115/BF121</f>
        <v>7.407407407407407E-2</v>
      </c>
      <c r="BH115" s="6">
        <f>6/$BH$3</f>
        <v>2.4793388429752067E-2</v>
      </c>
      <c r="BJ115">
        <v>20</v>
      </c>
      <c r="BK115" s="6">
        <f>BJ115/BJ121</f>
        <v>0.13071895424836602</v>
      </c>
      <c r="BL115" s="6">
        <f>20/$BL$3</f>
        <v>4.9627791563275438E-2</v>
      </c>
      <c r="BN115">
        <v>14</v>
      </c>
      <c r="BO115" s="6">
        <f>BN115/BN121</f>
        <v>8.2840236686390539E-2</v>
      </c>
      <c r="BP115" s="6">
        <f>14/$BP$3</f>
        <v>3.309692671394799E-2</v>
      </c>
      <c r="BR115">
        <v>14</v>
      </c>
      <c r="BS115" s="6">
        <f>BR115/BR121</f>
        <v>0.125</v>
      </c>
      <c r="BT115" s="6">
        <f>14/$BT$3</f>
        <v>5.1094890510948905E-2</v>
      </c>
      <c r="BV115">
        <v>14</v>
      </c>
      <c r="BW115" s="6">
        <f>BV115/BV121</f>
        <v>0.112</v>
      </c>
      <c r="BX115" s="6">
        <f>14/$BX$3</f>
        <v>4.5901639344262293E-2</v>
      </c>
      <c r="BZ115">
        <v>13</v>
      </c>
      <c r="CA115" s="6">
        <f>BZ115/BZ121</f>
        <v>0.125</v>
      </c>
      <c r="CB115" s="6">
        <f>13/$CB$3</f>
        <v>5.8035714285714288E-2</v>
      </c>
      <c r="CD115">
        <v>9</v>
      </c>
      <c r="CE115" s="6">
        <f>CD115/CD121</f>
        <v>0.10112359550561797</v>
      </c>
      <c r="CF115" s="6">
        <f>9/$CF$3</f>
        <v>3.7344398340248962E-2</v>
      </c>
      <c r="CH115">
        <v>12</v>
      </c>
      <c r="CI115" s="6">
        <f>CH115/CH121</f>
        <v>0.10344827586206896</v>
      </c>
      <c r="CJ115" s="6">
        <f>12/$CJ$3</f>
        <v>3.6363636363636362E-2</v>
      </c>
    </row>
    <row r="116" spans="1:88" x14ac:dyDescent="0.35">
      <c r="A116" s="1" t="s">
        <v>477</v>
      </c>
      <c r="B116">
        <v>97</v>
      </c>
      <c r="C116" s="6">
        <f>B116/B121</f>
        <v>0.22350230414746544</v>
      </c>
      <c r="D116" s="6">
        <f>97/$D$3</f>
        <v>8.8181818181818181E-2</v>
      </c>
      <c r="F116">
        <v>93</v>
      </c>
      <c r="G116" s="6">
        <f>F116/F121</f>
        <v>0.23425692695214106</v>
      </c>
      <c r="H116" s="6">
        <f>93/$H$3</f>
        <v>0.10208562019758508</v>
      </c>
      <c r="J116">
        <v>97</v>
      </c>
      <c r="K116" s="6">
        <f>J116/J121</f>
        <v>0.22350230414746544</v>
      </c>
      <c r="L116" s="6">
        <f>97/$L$3</f>
        <v>0.22350230414746544</v>
      </c>
      <c r="N116">
        <v>0</v>
      </c>
      <c r="O116" s="6">
        <v>0</v>
      </c>
      <c r="P116" s="8">
        <f t="shared" si="1"/>
        <v>0</v>
      </c>
      <c r="R116">
        <v>56</v>
      </c>
      <c r="S116" s="6">
        <f>R116/R121</f>
        <v>0.22489959839357429</v>
      </c>
      <c r="T116" s="6">
        <f>56/$T$3</f>
        <v>0.1</v>
      </c>
      <c r="V116">
        <v>41</v>
      </c>
      <c r="W116" s="6">
        <f>V116/V121</f>
        <v>0.22162162162162163</v>
      </c>
      <c r="X116" s="6">
        <f>41/$X$3</f>
        <v>7.5925925925925924E-2</v>
      </c>
      <c r="Z116">
        <v>17</v>
      </c>
      <c r="AA116" s="6">
        <f>Z116/Z121</f>
        <v>0.32692307692307693</v>
      </c>
      <c r="AB116" s="9">
        <f>17/$AB$3</f>
        <v>0.15044247787610621</v>
      </c>
      <c r="AD116">
        <v>18</v>
      </c>
      <c r="AE116" s="6">
        <f>AD116/AD121</f>
        <v>0.22500000000000001</v>
      </c>
      <c r="AF116" s="6">
        <f>18/$AF$3</f>
        <v>9.0909090909090912E-2</v>
      </c>
      <c r="AH116">
        <v>18</v>
      </c>
      <c r="AI116" s="6">
        <f>AH116/AH121</f>
        <v>0.19565217391304349</v>
      </c>
      <c r="AJ116" s="6">
        <f>18/$AJ$3</f>
        <v>7.28744939271255E-2</v>
      </c>
      <c r="AL116">
        <v>22</v>
      </c>
      <c r="AM116" s="6">
        <f>AL116/AL121</f>
        <v>0.22</v>
      </c>
      <c r="AN116" s="6">
        <f>22/$AN$3</f>
        <v>9.4827586206896547E-2</v>
      </c>
      <c r="AP116">
        <v>15</v>
      </c>
      <c r="AQ116" s="6">
        <f>AP116/AP121</f>
        <v>0.21126760563380281</v>
      </c>
      <c r="AR116" s="6">
        <f>15/$AR$3</f>
        <v>8.0645161290322578E-2</v>
      </c>
      <c r="AT116">
        <v>7</v>
      </c>
      <c r="AU116" s="6">
        <f>AT116/AT121</f>
        <v>0.17948717948717949</v>
      </c>
      <c r="AV116" s="6">
        <f>7/$AV$3</f>
        <v>5.6451612903225805E-2</v>
      </c>
      <c r="AX116">
        <v>46</v>
      </c>
      <c r="AY116" s="6">
        <f>AX116/AX121</f>
        <v>0.24864864864864866</v>
      </c>
      <c r="AZ116" s="6">
        <f>46/$AZ$3</f>
        <v>0.10697674418604651</v>
      </c>
      <c r="BB116">
        <v>36</v>
      </c>
      <c r="BC116" s="6">
        <f>BB116/BB121</f>
        <v>0.21428571428571427</v>
      </c>
      <c r="BD116" s="6">
        <f>36/$BD$3</f>
        <v>8.4112149532710276E-2</v>
      </c>
      <c r="BF116">
        <v>15</v>
      </c>
      <c r="BG116" s="6">
        <f>BF116/BF121</f>
        <v>0.18518518518518517</v>
      </c>
      <c r="BH116" s="6">
        <f>15/$BH$3</f>
        <v>6.1983471074380167E-2</v>
      </c>
      <c r="BJ116">
        <v>37</v>
      </c>
      <c r="BK116" s="6">
        <f>BJ116/BJ121</f>
        <v>0.24183006535947713</v>
      </c>
      <c r="BL116" s="6">
        <f>37/$BL$3</f>
        <v>9.1811414392059559E-2</v>
      </c>
      <c r="BN116">
        <v>35</v>
      </c>
      <c r="BO116" s="6">
        <f>BN116/BN121</f>
        <v>0.20710059171597633</v>
      </c>
      <c r="BP116" s="6">
        <f>35/$BP$3</f>
        <v>8.2742316784869971E-2</v>
      </c>
      <c r="BR116">
        <v>25</v>
      </c>
      <c r="BS116" s="6">
        <f>BR116/BR121</f>
        <v>0.22321428571428573</v>
      </c>
      <c r="BT116" s="6">
        <f>25/$BT$3</f>
        <v>9.1240875912408759E-2</v>
      </c>
      <c r="BV116">
        <v>29</v>
      </c>
      <c r="BW116" s="6">
        <f>BV116/BV121</f>
        <v>0.23200000000000001</v>
      </c>
      <c r="BX116" s="6">
        <f>29/$BX$3</f>
        <v>9.5081967213114751E-2</v>
      </c>
      <c r="BZ116">
        <v>23</v>
      </c>
      <c r="CA116" s="6">
        <f>BZ116/BZ121</f>
        <v>0.22115384615384615</v>
      </c>
      <c r="CB116" s="6">
        <f>23/$CB$3</f>
        <v>0.10267857142857142</v>
      </c>
      <c r="CD116">
        <v>23</v>
      </c>
      <c r="CE116" s="6">
        <f>CD116/CD121</f>
        <v>0.25842696629213485</v>
      </c>
      <c r="CF116" s="6">
        <f>23/$CF$3</f>
        <v>9.5435684647302899E-2</v>
      </c>
      <c r="CH116">
        <v>22</v>
      </c>
      <c r="CI116" s="6">
        <f>CH116/CH121</f>
        <v>0.18965517241379309</v>
      </c>
      <c r="CJ116" s="6">
        <f>22/$CJ$3</f>
        <v>6.6666666666666666E-2</v>
      </c>
    </row>
    <row r="117" spans="1:88" x14ac:dyDescent="0.35">
      <c r="A117" s="1" t="s">
        <v>478</v>
      </c>
      <c r="B117">
        <v>92</v>
      </c>
      <c r="C117" s="6">
        <f>B117/B121</f>
        <v>0.2119815668202765</v>
      </c>
      <c r="D117" s="6">
        <f>92/$D$3</f>
        <v>8.3636363636363634E-2</v>
      </c>
      <c r="F117">
        <v>86</v>
      </c>
      <c r="G117" s="6">
        <f>F117/F121</f>
        <v>0.21662468513853905</v>
      </c>
      <c r="H117" s="6">
        <f>86/$H$3</f>
        <v>9.4401756311745341E-2</v>
      </c>
      <c r="J117">
        <v>92</v>
      </c>
      <c r="K117" s="6">
        <f>J117/J121</f>
        <v>0.2119815668202765</v>
      </c>
      <c r="L117" s="6">
        <f>92/$L$3</f>
        <v>0.2119815668202765</v>
      </c>
      <c r="N117">
        <v>0</v>
      </c>
      <c r="O117" s="6">
        <v>0</v>
      </c>
      <c r="P117" s="8">
        <f t="shared" si="1"/>
        <v>0</v>
      </c>
      <c r="R117">
        <v>55</v>
      </c>
      <c r="S117" s="6">
        <f>R117/R121</f>
        <v>0.22088353413654618</v>
      </c>
      <c r="T117" s="6">
        <f>55/$T$3</f>
        <v>9.8214285714285712E-2</v>
      </c>
      <c r="V117">
        <v>37</v>
      </c>
      <c r="W117" s="6">
        <f>V117/V121</f>
        <v>0.2</v>
      </c>
      <c r="X117" s="6">
        <f>37/$X$3</f>
        <v>6.851851851851852E-2</v>
      </c>
      <c r="Z117">
        <v>11</v>
      </c>
      <c r="AA117" s="6">
        <f>Z117/Z121</f>
        <v>0.21153846153846154</v>
      </c>
      <c r="AB117" s="6">
        <f>11/$AB$3</f>
        <v>9.7345132743362831E-2</v>
      </c>
      <c r="AD117">
        <v>16</v>
      </c>
      <c r="AE117" s="6">
        <f>AD117/AD121</f>
        <v>0.2</v>
      </c>
      <c r="AF117" s="6">
        <f>16/$AF$3</f>
        <v>8.0808080808080815E-2</v>
      </c>
      <c r="AH117">
        <v>19</v>
      </c>
      <c r="AI117" s="6">
        <f>AH117/AH121</f>
        <v>0.20652173913043478</v>
      </c>
      <c r="AJ117" s="6">
        <f>19/$AJ$3</f>
        <v>7.6923076923076927E-2</v>
      </c>
      <c r="AL117">
        <v>22</v>
      </c>
      <c r="AM117" s="6">
        <f>AL117/AL121</f>
        <v>0.22</v>
      </c>
      <c r="AN117" s="6">
        <f>22/$AN$3</f>
        <v>9.4827586206896547E-2</v>
      </c>
      <c r="AP117">
        <v>15</v>
      </c>
      <c r="AQ117" s="6">
        <f>AP117/AP121</f>
        <v>0.21126760563380281</v>
      </c>
      <c r="AR117" s="6">
        <f>15/$AR$3</f>
        <v>8.0645161290322578E-2</v>
      </c>
      <c r="AT117">
        <v>9</v>
      </c>
      <c r="AU117" s="6">
        <f>AT117/AT121</f>
        <v>0.23076923076923078</v>
      </c>
      <c r="AV117" s="6">
        <f>9/$AV$3</f>
        <v>7.2580645161290328E-2</v>
      </c>
      <c r="AX117">
        <v>33</v>
      </c>
      <c r="AY117" s="6">
        <f>AX117/AX121</f>
        <v>0.17837837837837839</v>
      </c>
      <c r="AZ117" s="6">
        <f>33/$AZ$3</f>
        <v>7.6744186046511634E-2</v>
      </c>
      <c r="BB117">
        <v>39</v>
      </c>
      <c r="BC117" s="6">
        <f>BB117/BB121</f>
        <v>0.23214285714285715</v>
      </c>
      <c r="BD117" s="6">
        <f>39/$BD$3</f>
        <v>9.11214953271028E-2</v>
      </c>
      <c r="BF117">
        <v>20</v>
      </c>
      <c r="BG117" s="6">
        <f>BF117/BF121</f>
        <v>0.24691358024691357</v>
      </c>
      <c r="BH117" s="6">
        <f>20/$BH$3</f>
        <v>8.2644628099173556E-2</v>
      </c>
      <c r="BJ117">
        <v>28</v>
      </c>
      <c r="BK117" s="6">
        <f>BJ117/BJ121</f>
        <v>0.18300653594771241</v>
      </c>
      <c r="BL117" s="6">
        <f>28/$BL$3</f>
        <v>6.9478908188585611E-2</v>
      </c>
      <c r="BN117">
        <v>37</v>
      </c>
      <c r="BO117" s="6">
        <f>BN117/BN121</f>
        <v>0.21893491124260356</v>
      </c>
      <c r="BP117" s="6">
        <f>37/$BP$3</f>
        <v>8.7470449172576833E-2</v>
      </c>
      <c r="BR117">
        <v>27</v>
      </c>
      <c r="BS117" s="6">
        <f>BR117/BR121</f>
        <v>0.24107142857142858</v>
      </c>
      <c r="BT117" s="6">
        <f>27/$BT$3</f>
        <v>9.8540145985401464E-2</v>
      </c>
      <c r="BV117">
        <v>23</v>
      </c>
      <c r="BW117" s="6">
        <f>BV117/BV121</f>
        <v>0.184</v>
      </c>
      <c r="BX117" s="6">
        <f>23/$BX$3</f>
        <v>7.5409836065573776E-2</v>
      </c>
      <c r="BZ117">
        <v>26</v>
      </c>
      <c r="CA117" s="6">
        <f>BZ117/BZ121</f>
        <v>0.25</v>
      </c>
      <c r="CB117" s="6">
        <f>26/$CB$3</f>
        <v>0.11607142857142858</v>
      </c>
      <c r="CD117">
        <v>15</v>
      </c>
      <c r="CE117" s="6">
        <f>CD117/CD121</f>
        <v>0.16853932584269662</v>
      </c>
      <c r="CF117" s="6">
        <f>15/$CF$3</f>
        <v>6.2240663900414939E-2</v>
      </c>
      <c r="CH117">
        <v>28</v>
      </c>
      <c r="CI117" s="6">
        <f>CH117/CH121</f>
        <v>0.2413793103448276</v>
      </c>
      <c r="CJ117" s="6">
        <f>28/$CJ$3</f>
        <v>8.4848484848484854E-2</v>
      </c>
    </row>
    <row r="118" spans="1:88" x14ac:dyDescent="0.35">
      <c r="A118" s="1" t="s">
        <v>479</v>
      </c>
      <c r="B118">
        <v>106</v>
      </c>
      <c r="C118" s="6">
        <f>B118/B121</f>
        <v>0.24423963133640553</v>
      </c>
      <c r="D118" s="6">
        <f>106/$D$3</f>
        <v>9.636363636363636E-2</v>
      </c>
      <c r="F118">
        <v>98</v>
      </c>
      <c r="G118" s="6">
        <f>F118/F121</f>
        <v>0.24685138539042822</v>
      </c>
      <c r="H118" s="6">
        <f>98/$H$3</f>
        <v>0.10757409440175632</v>
      </c>
      <c r="J118">
        <v>106</v>
      </c>
      <c r="K118" s="6">
        <f>J118/J121</f>
        <v>0.24423963133640553</v>
      </c>
      <c r="L118" s="6">
        <f>106/$L$3</f>
        <v>0.24423963133640553</v>
      </c>
      <c r="N118">
        <v>0</v>
      </c>
      <c r="O118" s="6">
        <v>0</v>
      </c>
      <c r="P118" s="8">
        <f t="shared" si="1"/>
        <v>0</v>
      </c>
      <c r="R118">
        <v>62</v>
      </c>
      <c r="S118" s="6">
        <f>R118/R121</f>
        <v>0.24899598393574296</v>
      </c>
      <c r="T118" s="6">
        <f>62/$T$3</f>
        <v>0.11071428571428571</v>
      </c>
      <c r="V118">
        <v>44</v>
      </c>
      <c r="W118" s="6">
        <f>V118/V121</f>
        <v>0.23783783783783785</v>
      </c>
      <c r="X118" s="6">
        <f>44/$X$3</f>
        <v>8.1481481481481488E-2</v>
      </c>
      <c r="Z118">
        <v>6</v>
      </c>
      <c r="AA118" s="6">
        <f>Z118/Z121</f>
        <v>0.11538461538461539</v>
      </c>
      <c r="AB118" s="6">
        <f>6/$AB$3</f>
        <v>5.3097345132743362E-2</v>
      </c>
      <c r="AD118">
        <v>16</v>
      </c>
      <c r="AE118" s="6">
        <f>AD118/AD121</f>
        <v>0.2</v>
      </c>
      <c r="AF118" s="6">
        <f>16/$AF$3</f>
        <v>8.0808080808080815E-2</v>
      </c>
      <c r="AH118">
        <v>25</v>
      </c>
      <c r="AI118" s="6">
        <f>AH118/AH121</f>
        <v>0.27173913043478259</v>
      </c>
      <c r="AJ118" s="6">
        <f>25/$AJ$3</f>
        <v>0.10121457489878542</v>
      </c>
      <c r="AL118">
        <v>24</v>
      </c>
      <c r="AM118" s="6">
        <f>AL118/AL121</f>
        <v>0.24</v>
      </c>
      <c r="AN118" s="6">
        <f>24/$AN$3</f>
        <v>0.10344827586206896</v>
      </c>
      <c r="AP118">
        <v>24</v>
      </c>
      <c r="AQ118" s="6">
        <f>AP118/AP121</f>
        <v>0.3380281690140845</v>
      </c>
      <c r="AR118" s="6">
        <f>24/$AR$3</f>
        <v>0.12903225806451613</v>
      </c>
      <c r="AT118">
        <v>11</v>
      </c>
      <c r="AU118" s="6">
        <f>AT118/AT121</f>
        <v>0.28205128205128205</v>
      </c>
      <c r="AV118" s="6">
        <f>11/$AV$3</f>
        <v>8.8709677419354843E-2</v>
      </c>
      <c r="AX118">
        <v>45</v>
      </c>
      <c r="AY118" s="6">
        <f>AX118/AX121</f>
        <v>0.24324324324324326</v>
      </c>
      <c r="AZ118" s="6">
        <f>45/$AZ$3</f>
        <v>0.10465116279069768</v>
      </c>
      <c r="BB118">
        <v>37</v>
      </c>
      <c r="BC118" s="6">
        <f>BB118/BB121</f>
        <v>0.22023809523809523</v>
      </c>
      <c r="BD118" s="6">
        <f>37/$BD$3</f>
        <v>8.6448598130841117E-2</v>
      </c>
      <c r="BF118">
        <v>24</v>
      </c>
      <c r="BG118" s="6">
        <f>BF118/BF121</f>
        <v>0.29629629629629628</v>
      </c>
      <c r="BH118" s="6">
        <f>24/$BH$3</f>
        <v>9.9173553719008267E-2</v>
      </c>
      <c r="BJ118">
        <v>34</v>
      </c>
      <c r="BK118" s="6">
        <f>BJ118/BJ121</f>
        <v>0.22222222222222221</v>
      </c>
      <c r="BL118" s="6">
        <f>34/$BL$3</f>
        <v>8.4367245657568243E-2</v>
      </c>
      <c r="BN118">
        <v>42</v>
      </c>
      <c r="BO118" s="6">
        <f>BN118/BN121</f>
        <v>0.24852071005917159</v>
      </c>
      <c r="BP118" s="6">
        <f>42/$BP$3</f>
        <v>9.9290780141843976E-2</v>
      </c>
      <c r="BR118">
        <v>30</v>
      </c>
      <c r="BS118" s="6">
        <f>BR118/BR121</f>
        <v>0.26785714285714285</v>
      </c>
      <c r="BT118" s="6">
        <f>30/$BT$3</f>
        <v>0.10948905109489052</v>
      </c>
      <c r="BV118">
        <v>32</v>
      </c>
      <c r="BW118" s="6">
        <f>BV118/BV121</f>
        <v>0.25600000000000001</v>
      </c>
      <c r="BX118" s="6">
        <f>32/$BX$3</f>
        <v>0.10491803278688525</v>
      </c>
      <c r="BZ118">
        <v>23</v>
      </c>
      <c r="CA118" s="6">
        <f>BZ118/BZ121</f>
        <v>0.22115384615384615</v>
      </c>
      <c r="CB118" s="6">
        <f>23/$CB$3</f>
        <v>0.10267857142857142</v>
      </c>
      <c r="CD118">
        <v>24</v>
      </c>
      <c r="CE118" s="6">
        <f>CD118/CD121</f>
        <v>0.2696629213483146</v>
      </c>
      <c r="CF118" s="6">
        <f>24/$CF$3</f>
        <v>9.9585062240663894E-2</v>
      </c>
      <c r="CH118">
        <v>27</v>
      </c>
      <c r="CI118" s="6">
        <f>CH118/CH121</f>
        <v>0.23275862068965517</v>
      </c>
      <c r="CJ118" s="6">
        <f>27/$CJ$3</f>
        <v>8.1818181818181818E-2</v>
      </c>
    </row>
    <row r="119" spans="1:88" x14ac:dyDescent="0.35">
      <c r="A119" s="1" t="s">
        <v>480</v>
      </c>
      <c r="B119">
        <v>59</v>
      </c>
      <c r="C119" s="6">
        <f>B119/B121</f>
        <v>0.13594470046082949</v>
      </c>
      <c r="D119" s="6">
        <f>59/$D$3</f>
        <v>5.3636363636363635E-2</v>
      </c>
      <c r="F119">
        <v>50</v>
      </c>
      <c r="G119" s="6">
        <f>F119/F121</f>
        <v>0.12594458438287154</v>
      </c>
      <c r="H119" s="6">
        <f>50/$H$3</f>
        <v>5.4884742041712405E-2</v>
      </c>
      <c r="J119">
        <v>59</v>
      </c>
      <c r="K119" s="6">
        <f>J119/J121</f>
        <v>0.13594470046082949</v>
      </c>
      <c r="L119" s="6">
        <f>59/$L$3</f>
        <v>0.13594470046082949</v>
      </c>
      <c r="N119">
        <v>0</v>
      </c>
      <c r="O119" s="6">
        <v>0</v>
      </c>
      <c r="P119" s="8">
        <f t="shared" si="1"/>
        <v>0</v>
      </c>
      <c r="R119">
        <v>34</v>
      </c>
      <c r="S119" s="6">
        <f>R119/R121</f>
        <v>0.13654618473895583</v>
      </c>
      <c r="T119" s="6">
        <f>34/$T$3</f>
        <v>6.0714285714285714E-2</v>
      </c>
      <c r="V119">
        <v>25</v>
      </c>
      <c r="W119" s="6">
        <f>V119/V121</f>
        <v>0.13513513513513514</v>
      </c>
      <c r="X119" s="6">
        <f>25/$X$3</f>
        <v>4.6296296296296294E-2</v>
      </c>
      <c r="Z119">
        <v>5</v>
      </c>
      <c r="AA119" s="6">
        <f>Z119/Z121</f>
        <v>9.6153846153846159E-2</v>
      </c>
      <c r="AB119" s="6">
        <f>5/$AB$3</f>
        <v>4.4247787610619468E-2</v>
      </c>
      <c r="AD119">
        <v>13</v>
      </c>
      <c r="AE119" s="6">
        <f>AD119/AD121</f>
        <v>0.16250000000000001</v>
      </c>
      <c r="AF119" s="6">
        <f>13/$AF$3</f>
        <v>6.5656565656565663E-2</v>
      </c>
      <c r="AH119">
        <v>11</v>
      </c>
      <c r="AI119" s="6">
        <f>AH119/AH121</f>
        <v>0.11956521739130435</v>
      </c>
      <c r="AJ119" s="6">
        <f>11/$AJ$3</f>
        <v>4.4534412955465584E-2</v>
      </c>
      <c r="AL119">
        <v>16</v>
      </c>
      <c r="AM119" s="6">
        <f>AL119/AL121</f>
        <v>0.16</v>
      </c>
      <c r="AN119" s="6">
        <f>16/$AN$3</f>
        <v>6.8965517241379309E-2</v>
      </c>
      <c r="AP119">
        <v>11</v>
      </c>
      <c r="AQ119" s="6">
        <f>AP119/AP121</f>
        <v>0.15492957746478872</v>
      </c>
      <c r="AR119" s="6">
        <f>11/$AR$3</f>
        <v>5.9139784946236562E-2</v>
      </c>
      <c r="AT119">
        <v>3</v>
      </c>
      <c r="AU119" s="6">
        <f>AT119/AT121</f>
        <v>7.6923076923076927E-2</v>
      </c>
      <c r="AV119" s="6">
        <f>3/$AV$3</f>
        <v>2.4193548387096774E-2</v>
      </c>
      <c r="AX119">
        <v>24</v>
      </c>
      <c r="AY119" s="6">
        <f>AX119/AX121</f>
        <v>0.12972972972972974</v>
      </c>
      <c r="AZ119" s="6">
        <f>24/$AZ$3</f>
        <v>5.5813953488372092E-2</v>
      </c>
      <c r="BB119">
        <v>27</v>
      </c>
      <c r="BC119" s="6">
        <f>BB119/BB121</f>
        <v>0.16071428571428573</v>
      </c>
      <c r="BD119" s="6">
        <f>27/$BD$3</f>
        <v>6.3084112149532703E-2</v>
      </c>
      <c r="BF119">
        <v>8</v>
      </c>
      <c r="BG119" s="6">
        <f>BF119/BF121</f>
        <v>9.8765432098765427E-2</v>
      </c>
      <c r="BH119" s="6">
        <f>8/$BH$3</f>
        <v>3.3057851239669422E-2</v>
      </c>
      <c r="BJ119">
        <v>22</v>
      </c>
      <c r="BK119" s="6">
        <f>BJ119/BJ121</f>
        <v>0.1437908496732026</v>
      </c>
      <c r="BL119" s="6">
        <f>22/$BL$3</f>
        <v>5.4590570719602979E-2</v>
      </c>
      <c r="BN119">
        <v>26</v>
      </c>
      <c r="BO119" s="6">
        <f>BN119/BN121</f>
        <v>0.15384615384615385</v>
      </c>
      <c r="BP119" s="6">
        <f>26/$BP$3</f>
        <v>6.1465721040189124E-2</v>
      </c>
      <c r="BR119">
        <v>11</v>
      </c>
      <c r="BS119" s="6">
        <f>BR119/BR121</f>
        <v>9.8214285714285712E-2</v>
      </c>
      <c r="BT119" s="6">
        <f>11/$BT$3</f>
        <v>4.0145985401459854E-2</v>
      </c>
      <c r="BV119">
        <v>16</v>
      </c>
      <c r="BW119" s="6">
        <f>BV119/BV121</f>
        <v>0.128</v>
      </c>
      <c r="BX119" s="6">
        <f>16/$BX$3</f>
        <v>5.2459016393442623E-2</v>
      </c>
      <c r="BZ119">
        <v>11</v>
      </c>
      <c r="CA119" s="6">
        <f>BZ119/BZ121</f>
        <v>0.10576923076923077</v>
      </c>
      <c r="CB119" s="6">
        <f>11/$CB$3</f>
        <v>4.9107142857142856E-2</v>
      </c>
      <c r="CD119">
        <v>14</v>
      </c>
      <c r="CE119" s="6">
        <f>CD119/CD121</f>
        <v>0.15730337078651685</v>
      </c>
      <c r="CF119" s="6">
        <f>14/$CF$3</f>
        <v>5.8091286307053944E-2</v>
      </c>
      <c r="CH119">
        <v>18</v>
      </c>
      <c r="CI119" s="6">
        <f>CH119/CH121</f>
        <v>0.15517241379310345</v>
      </c>
      <c r="CJ119" s="6">
        <f>18/$CJ$3</f>
        <v>5.4545454545454543E-2</v>
      </c>
    </row>
    <row r="120" spans="1:88" x14ac:dyDescent="0.35">
      <c r="A120" s="1" t="s">
        <v>409</v>
      </c>
      <c r="B120">
        <v>32</v>
      </c>
      <c r="C120" s="6">
        <f>B120/B121</f>
        <v>7.3732718894009217E-2</v>
      </c>
      <c r="D120" s="6">
        <f>32/$D$3</f>
        <v>2.9090909090909091E-2</v>
      </c>
      <c r="F120">
        <v>26</v>
      </c>
      <c r="G120" s="6">
        <f>F120/F121</f>
        <v>6.5491183879093195E-2</v>
      </c>
      <c r="H120" s="6">
        <f>26/$H$3</f>
        <v>2.8540065861690452E-2</v>
      </c>
      <c r="J120">
        <v>32</v>
      </c>
      <c r="K120" s="6">
        <f>J120/J121</f>
        <v>7.3732718894009217E-2</v>
      </c>
      <c r="L120" s="6">
        <f>32/$L$3</f>
        <v>7.3732718894009217E-2</v>
      </c>
      <c r="N120">
        <v>0</v>
      </c>
      <c r="O120" s="6">
        <v>0</v>
      </c>
      <c r="P120" s="6">
        <f t="shared" si="1"/>
        <v>0</v>
      </c>
      <c r="R120">
        <v>14</v>
      </c>
      <c r="S120" s="6">
        <f>R120/R121</f>
        <v>5.6224899598393573E-2</v>
      </c>
      <c r="T120" s="6">
        <f>14/$T$3</f>
        <v>2.5000000000000001E-2</v>
      </c>
      <c r="V120">
        <v>18</v>
      </c>
      <c r="W120" s="6">
        <f>V120/V121</f>
        <v>9.7297297297297303E-2</v>
      </c>
      <c r="X120" s="6">
        <f>18/$X$3</f>
        <v>3.3333333333333333E-2</v>
      </c>
      <c r="Z120">
        <v>7</v>
      </c>
      <c r="AA120" s="6">
        <f>Z120/Z121</f>
        <v>0.13461538461538461</v>
      </c>
      <c r="AB120" s="6">
        <f>7/$AB$3</f>
        <v>6.1946902654867256E-2</v>
      </c>
      <c r="AD120">
        <v>7</v>
      </c>
      <c r="AE120" s="6">
        <f>AD120/AD121</f>
        <v>8.7499999999999994E-2</v>
      </c>
      <c r="AF120" s="6">
        <f>7/$AF$3</f>
        <v>3.5353535353535352E-2</v>
      </c>
      <c r="AH120">
        <v>6</v>
      </c>
      <c r="AI120" s="6">
        <f>AH120/AH121</f>
        <v>6.5217391304347824E-2</v>
      </c>
      <c r="AJ120" s="6">
        <f>6/$AJ$3</f>
        <v>2.4291497975708502E-2</v>
      </c>
      <c r="AL120">
        <v>4</v>
      </c>
      <c r="AM120" s="6">
        <f>AL120/AL121</f>
        <v>0.04</v>
      </c>
      <c r="AN120" s="6">
        <f>4/$AN$3</f>
        <v>1.7241379310344827E-2</v>
      </c>
      <c r="AP120">
        <v>4</v>
      </c>
      <c r="AQ120" s="6">
        <f>AP120/AP121</f>
        <v>5.6338028169014086E-2</v>
      </c>
      <c r="AR120" s="6">
        <f>4/$AR$3</f>
        <v>2.1505376344086023E-2</v>
      </c>
      <c r="AT120">
        <v>4</v>
      </c>
      <c r="AU120" s="6">
        <f>AT120/AT121</f>
        <v>0.10256410256410256</v>
      </c>
      <c r="AV120" s="6">
        <f>4/$AV$3</f>
        <v>3.2258064516129031E-2</v>
      </c>
      <c r="AX120">
        <v>15</v>
      </c>
      <c r="AY120" s="6">
        <f>AX120/AX121</f>
        <v>8.1081081081081086E-2</v>
      </c>
      <c r="AZ120" s="6">
        <f>15/$AZ$3</f>
        <v>3.4883720930232558E-2</v>
      </c>
      <c r="BB120">
        <v>9</v>
      </c>
      <c r="BC120" s="6">
        <f>BB120/BB121</f>
        <v>5.3571428571428568E-2</v>
      </c>
      <c r="BD120" s="6">
        <f>9/$BD$3</f>
        <v>2.1028037383177569E-2</v>
      </c>
      <c r="BF120">
        <v>8</v>
      </c>
      <c r="BG120" s="6">
        <f>BF120/BF121</f>
        <v>9.8765432098765427E-2</v>
      </c>
      <c r="BH120" s="6">
        <f>8/$BH$3</f>
        <v>3.3057851239669422E-2</v>
      </c>
      <c r="BJ120">
        <v>12</v>
      </c>
      <c r="BK120" s="6">
        <f>BJ120/BJ121</f>
        <v>7.8431372549019607E-2</v>
      </c>
      <c r="BL120" s="6">
        <f>12/$BL$3</f>
        <v>2.9776674937965261E-2</v>
      </c>
      <c r="BN120">
        <v>15</v>
      </c>
      <c r="BO120" s="6">
        <f>BN120/BN121</f>
        <v>8.8757396449704137E-2</v>
      </c>
      <c r="BP120" s="6">
        <f>15/$BP$3</f>
        <v>3.5460992907801421E-2</v>
      </c>
      <c r="BR120">
        <v>5</v>
      </c>
      <c r="BS120" s="6">
        <f>BR120/BR121</f>
        <v>4.4642857142857144E-2</v>
      </c>
      <c r="BT120" s="6">
        <f>5/$BT$3</f>
        <v>1.824817518248175E-2</v>
      </c>
      <c r="BV120">
        <v>11</v>
      </c>
      <c r="BW120" s="6">
        <f>BV120/BV121</f>
        <v>8.7999999999999995E-2</v>
      </c>
      <c r="BX120" s="6">
        <f>11/$BX$3</f>
        <v>3.6065573770491806E-2</v>
      </c>
      <c r="BZ120">
        <v>8</v>
      </c>
      <c r="CA120" s="6">
        <f>BZ120/BZ121</f>
        <v>7.6923076923076927E-2</v>
      </c>
      <c r="CB120" s="6">
        <f>8/$CB$3</f>
        <v>3.5714285714285712E-2</v>
      </c>
      <c r="CD120">
        <v>4</v>
      </c>
      <c r="CE120" s="6">
        <f>CD120/CD121</f>
        <v>4.49438202247191E-2</v>
      </c>
      <c r="CF120" s="6">
        <f>4/$CF$3</f>
        <v>1.6597510373443983E-2</v>
      </c>
      <c r="CH120">
        <v>9</v>
      </c>
      <c r="CI120" s="6">
        <f>CH120/CH121</f>
        <v>7.7586206896551727E-2</v>
      </c>
      <c r="CJ120" s="6">
        <f>9/$CJ$3</f>
        <v>2.7272727272727271E-2</v>
      </c>
    </row>
    <row r="121" spans="1:88" s="10" customFormat="1" x14ac:dyDescent="0.35">
      <c r="A121" s="11" t="s">
        <v>411</v>
      </c>
      <c r="B121" s="10">
        <v>434</v>
      </c>
      <c r="F121" s="10">
        <v>397</v>
      </c>
      <c r="J121" s="10">
        <v>434</v>
      </c>
      <c r="N121" s="10">
        <v>0</v>
      </c>
      <c r="R121" s="10">
        <v>249</v>
      </c>
      <c r="V121" s="10">
        <v>185</v>
      </c>
      <c r="Z121" s="10">
        <v>52</v>
      </c>
      <c r="AD121" s="10">
        <v>80</v>
      </c>
      <c r="AH121" s="10">
        <v>92</v>
      </c>
      <c r="AL121" s="10">
        <v>100</v>
      </c>
      <c r="AP121" s="10">
        <v>71</v>
      </c>
      <c r="AT121" s="10">
        <v>39</v>
      </c>
      <c r="AX121" s="10">
        <v>185</v>
      </c>
      <c r="BB121" s="10">
        <v>168</v>
      </c>
      <c r="BF121" s="10">
        <v>81</v>
      </c>
      <c r="BJ121" s="10">
        <v>153</v>
      </c>
      <c r="BN121" s="10">
        <v>169</v>
      </c>
      <c r="BR121" s="10">
        <v>112</v>
      </c>
      <c r="BV121" s="10">
        <v>125</v>
      </c>
      <c r="BZ121" s="10">
        <v>104</v>
      </c>
      <c r="CD121" s="10">
        <v>89</v>
      </c>
      <c r="CH121" s="10">
        <v>116</v>
      </c>
    </row>
    <row r="122" spans="1:88" hidden="1" x14ac:dyDescent="0.35">
      <c r="A122" s="12" t="s">
        <v>412</v>
      </c>
      <c r="B122">
        <v>0</v>
      </c>
      <c r="F122">
        <v>0</v>
      </c>
      <c r="J122">
        <v>0</v>
      </c>
      <c r="N122">
        <v>0</v>
      </c>
      <c r="R122">
        <v>0</v>
      </c>
      <c r="V122">
        <v>0</v>
      </c>
      <c r="Z122">
        <v>0</v>
      </c>
      <c r="AD122">
        <v>0</v>
      </c>
      <c r="AH122">
        <v>0</v>
      </c>
      <c r="AL122">
        <v>0</v>
      </c>
      <c r="AP122">
        <v>0</v>
      </c>
      <c r="AT122">
        <v>0</v>
      </c>
      <c r="AX122">
        <v>0</v>
      </c>
      <c r="BB122">
        <v>0</v>
      </c>
      <c r="BF122">
        <v>0</v>
      </c>
      <c r="BJ122">
        <v>0</v>
      </c>
      <c r="BN122">
        <v>0</v>
      </c>
      <c r="BR122">
        <v>0</v>
      </c>
      <c r="BV122">
        <v>0</v>
      </c>
      <c r="BZ122">
        <v>0</v>
      </c>
      <c r="CD122">
        <v>0</v>
      </c>
      <c r="CH122">
        <v>0</v>
      </c>
    </row>
    <row r="123" spans="1:88" s="13" customFormat="1" x14ac:dyDescent="0.35">
      <c r="A123" s="12" t="s">
        <v>413</v>
      </c>
      <c r="B123" s="13">
        <v>666</v>
      </c>
      <c r="F123" s="13">
        <v>514</v>
      </c>
      <c r="J123" s="13">
        <v>0</v>
      </c>
      <c r="N123" s="13">
        <v>81</v>
      </c>
      <c r="R123" s="13">
        <v>311</v>
      </c>
      <c r="V123" s="13">
        <v>355</v>
      </c>
      <c r="Z123" s="13">
        <v>61</v>
      </c>
      <c r="AD123" s="13">
        <v>118</v>
      </c>
      <c r="AH123" s="13">
        <v>155</v>
      </c>
      <c r="AL123" s="13">
        <v>132</v>
      </c>
      <c r="AP123" s="13">
        <v>115</v>
      </c>
      <c r="AT123" s="13">
        <v>85</v>
      </c>
      <c r="AX123" s="13">
        <v>245</v>
      </c>
      <c r="BB123" s="13">
        <v>260</v>
      </c>
      <c r="BF123" s="13">
        <v>161</v>
      </c>
      <c r="BJ123" s="13">
        <v>250</v>
      </c>
      <c r="BN123" s="13">
        <v>254</v>
      </c>
      <c r="BR123" s="13">
        <v>162</v>
      </c>
      <c r="BV123" s="13">
        <v>180</v>
      </c>
      <c r="BZ123" s="13">
        <v>120</v>
      </c>
      <c r="CD123" s="13">
        <v>152</v>
      </c>
      <c r="CH123" s="13">
        <v>214</v>
      </c>
    </row>
    <row r="125" spans="1:88" x14ac:dyDescent="0.35">
      <c r="AB125" s="2" t="s">
        <v>3</v>
      </c>
      <c r="AF125" s="2" t="s">
        <v>4</v>
      </c>
      <c r="AJ125" s="2" t="s">
        <v>5</v>
      </c>
      <c r="AN125" s="2" t="s">
        <v>6</v>
      </c>
      <c r="AR125" s="2" t="s">
        <v>7</v>
      </c>
      <c r="AV125" s="2" t="s">
        <v>8</v>
      </c>
      <c r="AZ125" s="2" t="s">
        <v>3</v>
      </c>
      <c r="BD125" s="2" t="s">
        <v>4</v>
      </c>
      <c r="BH125" s="2" t="s">
        <v>5</v>
      </c>
      <c r="BL125" s="2" t="s">
        <v>3</v>
      </c>
      <c r="BP125" s="2" t="s">
        <v>4</v>
      </c>
      <c r="BT125" s="2" t="s">
        <v>5</v>
      </c>
      <c r="BX125" s="2" t="s">
        <v>3</v>
      </c>
      <c r="CB125" s="2" t="s">
        <v>4</v>
      </c>
      <c r="CF125" s="2" t="s">
        <v>5</v>
      </c>
      <c r="CJ125" s="2" t="s">
        <v>6</v>
      </c>
    </row>
    <row r="126" spans="1:88" s="3" customFormat="1" x14ac:dyDescent="0.35">
      <c r="A126" s="3" t="s">
        <v>481</v>
      </c>
      <c r="D126" s="5" t="s">
        <v>406</v>
      </c>
      <c r="H126" s="5" t="s">
        <v>406</v>
      </c>
      <c r="L126" s="5" t="s">
        <v>406</v>
      </c>
      <c r="P126" s="5" t="s">
        <v>406</v>
      </c>
      <c r="T126" s="5" t="s">
        <v>406</v>
      </c>
      <c r="X126" s="5" t="s">
        <v>406</v>
      </c>
      <c r="AB126" s="5" t="s">
        <v>406</v>
      </c>
      <c r="AF126" s="5" t="s">
        <v>406</v>
      </c>
      <c r="AJ126" s="5" t="s">
        <v>406</v>
      </c>
      <c r="AN126" s="5" t="s">
        <v>406</v>
      </c>
      <c r="AR126" s="5" t="s">
        <v>406</v>
      </c>
      <c r="AV126" s="5" t="s">
        <v>406</v>
      </c>
      <c r="AZ126" s="5" t="s">
        <v>406</v>
      </c>
      <c r="BD126" s="5" t="s">
        <v>406</v>
      </c>
      <c r="BH126" s="5" t="s">
        <v>406</v>
      </c>
      <c r="BL126" s="5" t="s">
        <v>406</v>
      </c>
      <c r="BP126" s="5" t="s">
        <v>406</v>
      </c>
      <c r="BT126" s="5" t="s">
        <v>406</v>
      </c>
      <c r="BX126" s="5" t="s">
        <v>406</v>
      </c>
      <c r="CB126" s="5" t="s">
        <v>406</v>
      </c>
      <c r="CF126" s="5" t="s">
        <v>406</v>
      </c>
      <c r="CJ126" s="5" t="s">
        <v>406</v>
      </c>
    </row>
    <row r="127" spans="1:88" x14ac:dyDescent="0.35">
      <c r="A127" s="1" t="s">
        <v>482</v>
      </c>
      <c r="B127">
        <v>40</v>
      </c>
      <c r="C127" s="6">
        <f>B127/B131</f>
        <v>6.006006006006006E-2</v>
      </c>
      <c r="D127" s="6">
        <f>40/$D$3</f>
        <v>3.6363636363636362E-2</v>
      </c>
      <c r="F127">
        <v>31</v>
      </c>
      <c r="G127" s="6">
        <f>F127/F131</f>
        <v>6.0311284046692608E-2</v>
      </c>
      <c r="H127" s="6">
        <f>31/$H$3</f>
        <v>3.4028540065861687E-2</v>
      </c>
      <c r="J127">
        <v>0</v>
      </c>
      <c r="K127" s="6">
        <v>0</v>
      </c>
      <c r="L127" s="6">
        <f>0/$L$3</f>
        <v>0</v>
      </c>
      <c r="N127">
        <v>15</v>
      </c>
      <c r="O127" s="6">
        <f>N127/N131</f>
        <v>0.18518518518518517</v>
      </c>
      <c r="P127" s="6">
        <f>15/$P$3</f>
        <v>0.18518518518518517</v>
      </c>
      <c r="R127">
        <v>21</v>
      </c>
      <c r="S127" s="6">
        <f>R127/R131</f>
        <v>6.7524115755627015E-2</v>
      </c>
      <c r="T127" s="6">
        <f>21/$T$3</f>
        <v>3.7499999999999999E-2</v>
      </c>
      <c r="V127">
        <v>19</v>
      </c>
      <c r="W127" s="6">
        <f>V127/V131</f>
        <v>5.3521126760563378E-2</v>
      </c>
      <c r="X127" s="6">
        <f>19/$X$3</f>
        <v>3.5185185185185187E-2</v>
      </c>
      <c r="Z127">
        <v>5</v>
      </c>
      <c r="AA127" s="6">
        <f>Z127/Z131</f>
        <v>8.1967213114754092E-2</v>
      </c>
      <c r="AB127" s="6">
        <f>5/$AB$3</f>
        <v>4.4247787610619468E-2</v>
      </c>
      <c r="AD127">
        <v>7</v>
      </c>
      <c r="AE127" s="6">
        <f>AD127/AD131</f>
        <v>5.9322033898305086E-2</v>
      </c>
      <c r="AF127" s="6">
        <f>7/$AF$3</f>
        <v>3.5353535353535352E-2</v>
      </c>
      <c r="AH127">
        <v>9</v>
      </c>
      <c r="AI127" s="6">
        <f>AH127/AH131</f>
        <v>5.8064516129032261E-2</v>
      </c>
      <c r="AJ127" s="6">
        <f>9/$AJ$3</f>
        <v>3.643724696356275E-2</v>
      </c>
      <c r="AL127">
        <v>9</v>
      </c>
      <c r="AM127" s="6">
        <f>AL127/AL131</f>
        <v>6.8181818181818177E-2</v>
      </c>
      <c r="AN127" s="6">
        <f>9/$AN$3</f>
        <v>3.8793103448275863E-2</v>
      </c>
      <c r="AP127">
        <v>4</v>
      </c>
      <c r="AQ127" s="6">
        <f>AP127/AP131</f>
        <v>3.4782608695652174E-2</v>
      </c>
      <c r="AR127" s="6">
        <f>4/$AR$3</f>
        <v>2.1505376344086023E-2</v>
      </c>
      <c r="AT127">
        <v>6</v>
      </c>
      <c r="AU127" s="6">
        <f>AT127/AT131</f>
        <v>7.0588235294117646E-2</v>
      </c>
      <c r="AV127" s="6">
        <f>6/$AV$3</f>
        <v>4.8387096774193547E-2</v>
      </c>
      <c r="AX127">
        <v>13</v>
      </c>
      <c r="AY127" s="6">
        <f>AX127/AX131</f>
        <v>5.3061224489795916E-2</v>
      </c>
      <c r="AZ127" s="6">
        <f>13/$AZ$3</f>
        <v>3.0232558139534883E-2</v>
      </c>
      <c r="BB127">
        <v>15</v>
      </c>
      <c r="BC127" s="6">
        <f>BB127/BB131</f>
        <v>5.7692307692307696E-2</v>
      </c>
      <c r="BD127" s="6">
        <f>15/$BD$3</f>
        <v>3.5046728971962614E-2</v>
      </c>
      <c r="BF127">
        <v>12</v>
      </c>
      <c r="BG127" s="6">
        <f>BF127/BF131</f>
        <v>7.4534161490683232E-2</v>
      </c>
      <c r="BH127" s="6">
        <f>12/$BH$3</f>
        <v>4.9586776859504134E-2</v>
      </c>
      <c r="BJ127">
        <v>14</v>
      </c>
      <c r="BK127" s="6">
        <f>BJ127/BJ131</f>
        <v>5.6000000000000001E-2</v>
      </c>
      <c r="BL127" s="6">
        <f>14/$BL$3</f>
        <v>3.4739454094292806E-2</v>
      </c>
      <c r="BN127">
        <v>17</v>
      </c>
      <c r="BO127" s="6">
        <f>BN127/BN131</f>
        <v>6.6929133858267723E-2</v>
      </c>
      <c r="BP127" s="6">
        <f>17/$BP$3</f>
        <v>4.0189125295508277E-2</v>
      </c>
      <c r="BR127">
        <v>9</v>
      </c>
      <c r="BS127" s="6">
        <f>BR127/BR131</f>
        <v>5.5555555555555552E-2</v>
      </c>
      <c r="BT127" s="6">
        <f>9/$BT$3</f>
        <v>3.2846715328467155E-2</v>
      </c>
      <c r="BV127">
        <v>8</v>
      </c>
      <c r="BW127" s="6">
        <f>BV127/BV131</f>
        <v>4.4444444444444446E-2</v>
      </c>
      <c r="BX127" s="6">
        <f>8/$BX$3</f>
        <v>2.6229508196721311E-2</v>
      </c>
      <c r="BZ127">
        <v>9</v>
      </c>
      <c r="CA127" s="6">
        <f>BZ127/BZ131</f>
        <v>7.4999999999999997E-2</v>
      </c>
      <c r="CB127" s="6">
        <f>9/$CB$3</f>
        <v>4.0178571428571432E-2</v>
      </c>
      <c r="CD127">
        <v>7</v>
      </c>
      <c r="CE127" s="6">
        <f>CD127/CD131</f>
        <v>4.6052631578947366E-2</v>
      </c>
      <c r="CF127" s="6">
        <f>7/$CF$3</f>
        <v>2.9045643153526972E-2</v>
      </c>
      <c r="CH127">
        <v>16</v>
      </c>
      <c r="CI127" s="6">
        <f>CH127/CH131</f>
        <v>7.476635514018691E-2</v>
      </c>
      <c r="CJ127" s="6">
        <f>16/$CJ$3</f>
        <v>4.8484848484848485E-2</v>
      </c>
    </row>
    <row r="128" spans="1:88" x14ac:dyDescent="0.35">
      <c r="A128" s="1" t="s">
        <v>483</v>
      </c>
      <c r="B128">
        <v>73</v>
      </c>
      <c r="C128" s="6">
        <f>B128/B131</f>
        <v>0.10960960960960961</v>
      </c>
      <c r="D128" s="6">
        <f>73/$D$3</f>
        <v>6.6363636363636361E-2</v>
      </c>
      <c r="F128">
        <v>59</v>
      </c>
      <c r="G128" s="6">
        <f>F128/F131</f>
        <v>0.11478599221789883</v>
      </c>
      <c r="H128" s="6">
        <f>59/$H$3</f>
        <v>6.4763995609220637E-2</v>
      </c>
      <c r="J128">
        <v>0</v>
      </c>
      <c r="K128" s="6">
        <v>0</v>
      </c>
      <c r="L128" s="8">
        <f>0/$L$3</f>
        <v>0</v>
      </c>
      <c r="N128">
        <v>17</v>
      </c>
      <c r="O128" s="6">
        <f>N128/N131</f>
        <v>0.20987654320987653</v>
      </c>
      <c r="P128" s="9">
        <f>17/$P$3</f>
        <v>0.20987654320987653</v>
      </c>
      <c r="R128">
        <v>48</v>
      </c>
      <c r="S128" s="6">
        <f>R128/R131</f>
        <v>0.15434083601286175</v>
      </c>
      <c r="T128" s="6">
        <f>48/$T$3</f>
        <v>8.5714285714285715E-2</v>
      </c>
      <c r="V128">
        <v>25</v>
      </c>
      <c r="W128" s="6">
        <f>V128/V131</f>
        <v>7.0422535211267609E-2</v>
      </c>
      <c r="X128" s="6">
        <f>25/$X$3</f>
        <v>4.6296296296296294E-2</v>
      </c>
      <c r="Z128">
        <v>10</v>
      </c>
      <c r="AA128" s="6">
        <f>Z128/Z131</f>
        <v>0.16393442622950818</v>
      </c>
      <c r="AB128" s="6">
        <f>10/$AB$3</f>
        <v>8.8495575221238937E-2</v>
      </c>
      <c r="AD128">
        <v>15</v>
      </c>
      <c r="AE128" s="6">
        <f>AD128/AD131</f>
        <v>0.1271186440677966</v>
      </c>
      <c r="AF128" s="6">
        <f>15/$AF$3</f>
        <v>7.575757575757576E-2</v>
      </c>
      <c r="AH128">
        <v>19</v>
      </c>
      <c r="AI128" s="6">
        <f>AH128/AH131</f>
        <v>0.12258064516129032</v>
      </c>
      <c r="AJ128" s="6">
        <f>19/$AJ$3</f>
        <v>7.6923076923076927E-2</v>
      </c>
      <c r="AL128">
        <v>13</v>
      </c>
      <c r="AM128" s="6">
        <f>AL128/AL131</f>
        <v>9.8484848484848481E-2</v>
      </c>
      <c r="AN128" s="6">
        <f>13/$AN$3</f>
        <v>5.6034482758620691E-2</v>
      </c>
      <c r="AP128">
        <v>7</v>
      </c>
      <c r="AQ128" s="6">
        <f>AP128/AP131</f>
        <v>6.0869565217391307E-2</v>
      </c>
      <c r="AR128" s="6">
        <f>7/$AR$3</f>
        <v>3.7634408602150539E-2</v>
      </c>
      <c r="AT128">
        <v>9</v>
      </c>
      <c r="AU128" s="6">
        <f>AT128/AT131</f>
        <v>0.10588235294117647</v>
      </c>
      <c r="AV128" s="6">
        <f>9/$AV$3</f>
        <v>7.2580645161290328E-2</v>
      </c>
      <c r="AX128">
        <v>26</v>
      </c>
      <c r="AY128" s="6">
        <f>AX128/AX131</f>
        <v>0.10612244897959183</v>
      </c>
      <c r="AZ128" s="6">
        <f>26/$AZ$3</f>
        <v>6.0465116279069767E-2</v>
      </c>
      <c r="BB128">
        <v>26</v>
      </c>
      <c r="BC128" s="6">
        <f>BB128/BB131</f>
        <v>0.1</v>
      </c>
      <c r="BD128" s="6">
        <f>26/$BD$3</f>
        <v>6.0747663551401869E-2</v>
      </c>
      <c r="BF128">
        <v>21</v>
      </c>
      <c r="BG128" s="6">
        <f>BF128/BF131</f>
        <v>0.13043478260869565</v>
      </c>
      <c r="BH128" s="6">
        <f>21/$BH$3</f>
        <v>8.6776859504132234E-2</v>
      </c>
      <c r="BJ128">
        <v>21</v>
      </c>
      <c r="BK128" s="6">
        <f>BJ128/BJ131</f>
        <v>8.4000000000000005E-2</v>
      </c>
      <c r="BL128" s="6">
        <f>21/$BL$3</f>
        <v>5.2109181141439205E-2</v>
      </c>
      <c r="BN128">
        <v>28</v>
      </c>
      <c r="BO128" s="6">
        <f>BN128/BN131</f>
        <v>0.11023622047244094</v>
      </c>
      <c r="BP128" s="6">
        <f>28/$BP$3</f>
        <v>6.6193853427895979E-2</v>
      </c>
      <c r="BR128">
        <v>24</v>
      </c>
      <c r="BS128" s="6">
        <f>BR128/BR131</f>
        <v>0.14814814814814814</v>
      </c>
      <c r="BT128" s="6">
        <f>24/$BT$3</f>
        <v>8.7591240875912413E-2</v>
      </c>
      <c r="BV128">
        <v>24</v>
      </c>
      <c r="BW128" s="6">
        <f>BV128/BV131</f>
        <v>0.13333333333333333</v>
      </c>
      <c r="BX128" s="6">
        <f>24/$BX$3</f>
        <v>7.8688524590163941E-2</v>
      </c>
      <c r="BZ128">
        <v>11</v>
      </c>
      <c r="CA128" s="6">
        <f>BZ128/BZ131</f>
        <v>9.166666666666666E-2</v>
      </c>
      <c r="CB128" s="6">
        <f>11/$CB$3</f>
        <v>4.9107142857142856E-2</v>
      </c>
      <c r="CD128">
        <v>14</v>
      </c>
      <c r="CE128" s="6">
        <f>CD128/CD131</f>
        <v>9.2105263157894732E-2</v>
      </c>
      <c r="CF128" s="6">
        <f>14/$CF$3</f>
        <v>5.8091286307053944E-2</v>
      </c>
      <c r="CH128">
        <v>24</v>
      </c>
      <c r="CI128" s="6">
        <f>CH128/CH131</f>
        <v>0.11214953271028037</v>
      </c>
      <c r="CJ128" s="6">
        <f>24/$CJ$3</f>
        <v>7.2727272727272724E-2</v>
      </c>
    </row>
    <row r="129" spans="1:88" x14ac:dyDescent="0.35">
      <c r="A129" s="1" t="s">
        <v>484</v>
      </c>
      <c r="B129">
        <v>553</v>
      </c>
      <c r="C129" s="6">
        <f>B129/B131</f>
        <v>0.83033033033033032</v>
      </c>
      <c r="D129" s="6">
        <f>553/$D$3</f>
        <v>0.50272727272727269</v>
      </c>
      <c r="F129">
        <v>424</v>
      </c>
      <c r="G129" s="6">
        <f>F129/F131</f>
        <v>0.82490272373540852</v>
      </c>
      <c r="H129" s="6">
        <f>424/$H$3</f>
        <v>0.46542261251372119</v>
      </c>
      <c r="J129">
        <v>0</v>
      </c>
      <c r="K129" s="6">
        <v>0</v>
      </c>
      <c r="L129" s="8">
        <f>0/$L$3</f>
        <v>0</v>
      </c>
      <c r="N129">
        <v>49</v>
      </c>
      <c r="O129" s="6">
        <f>N129/N131</f>
        <v>0.60493827160493829</v>
      </c>
      <c r="P129" s="6">
        <f>49/$P$3</f>
        <v>0.60493827160493829</v>
      </c>
      <c r="R129">
        <v>242</v>
      </c>
      <c r="S129" s="6">
        <f>R129/R131</f>
        <v>0.77813504823151125</v>
      </c>
      <c r="T129" s="8">
        <f>242/$T$3</f>
        <v>0.43214285714285716</v>
      </c>
      <c r="V129">
        <v>311</v>
      </c>
      <c r="W129" s="6">
        <f>V129/V131</f>
        <v>0.87605633802816907</v>
      </c>
      <c r="X129" s="9">
        <f>311/$X$3</f>
        <v>0.57592592592592595</v>
      </c>
      <c r="Z129">
        <v>46</v>
      </c>
      <c r="AA129" s="6">
        <f>Z129/Z131</f>
        <v>0.75409836065573765</v>
      </c>
      <c r="AB129" s="8">
        <f>46/$AB$3</f>
        <v>0.40707964601769914</v>
      </c>
      <c r="AD129">
        <v>96</v>
      </c>
      <c r="AE129" s="6">
        <f>AD129/AD131</f>
        <v>0.81355932203389836</v>
      </c>
      <c r="AF129" s="6">
        <f>96/$AF$3</f>
        <v>0.48484848484848486</v>
      </c>
      <c r="AH129">
        <v>127</v>
      </c>
      <c r="AI129" s="6">
        <f>AH129/AH131</f>
        <v>0.8193548387096774</v>
      </c>
      <c r="AJ129" s="6">
        <f>127/$AJ$3</f>
        <v>0.51417004048582993</v>
      </c>
      <c r="AL129">
        <v>110</v>
      </c>
      <c r="AM129" s="6">
        <f>AL129/AL131</f>
        <v>0.83333333333333337</v>
      </c>
      <c r="AN129" s="6">
        <f>110/$AN$3</f>
        <v>0.47413793103448276</v>
      </c>
      <c r="AP129">
        <v>104</v>
      </c>
      <c r="AQ129" s="6">
        <f>AP129/AP131</f>
        <v>0.90434782608695652</v>
      </c>
      <c r="AR129" s="6">
        <f>104/$AR$3</f>
        <v>0.55913978494623651</v>
      </c>
      <c r="AT129">
        <v>70</v>
      </c>
      <c r="AU129" s="6">
        <f>AT129/AT131</f>
        <v>0.82352941176470584</v>
      </c>
      <c r="AV129" s="6">
        <f>70/$AV$3</f>
        <v>0.56451612903225812</v>
      </c>
      <c r="AX129">
        <v>206</v>
      </c>
      <c r="AY129" s="6">
        <f>AX129/AX131</f>
        <v>0.84081632653061222</v>
      </c>
      <c r="AZ129" s="6">
        <f>206/$AZ$3</f>
        <v>0.47906976744186047</v>
      </c>
      <c r="BB129">
        <v>219</v>
      </c>
      <c r="BC129" s="6">
        <f>BB129/BB131</f>
        <v>0.84230769230769231</v>
      </c>
      <c r="BD129" s="6">
        <f>219/$BD$3</f>
        <v>0.51168224299065423</v>
      </c>
      <c r="BF129">
        <v>128</v>
      </c>
      <c r="BG129" s="6">
        <f>BF129/BF131</f>
        <v>0.79503105590062106</v>
      </c>
      <c r="BH129" s="6">
        <f>128/$BH$3</f>
        <v>0.52892561983471076</v>
      </c>
      <c r="BJ129">
        <v>215</v>
      </c>
      <c r="BK129" s="6">
        <f>BJ129/BJ131</f>
        <v>0.86</v>
      </c>
      <c r="BL129" s="6">
        <f>215/$BL$3</f>
        <v>0.53349875930521096</v>
      </c>
      <c r="BN129">
        <v>209</v>
      </c>
      <c r="BO129" s="6">
        <f>BN129/BN131</f>
        <v>0.82283464566929132</v>
      </c>
      <c r="BP129" s="6">
        <f>209/$BP$3</f>
        <v>0.49408983451536642</v>
      </c>
      <c r="BR129">
        <v>129</v>
      </c>
      <c r="BS129" s="6">
        <f>BR129/BR131</f>
        <v>0.79629629629629628</v>
      </c>
      <c r="BT129" s="6">
        <f>129/$BT$3</f>
        <v>0.47080291970802918</v>
      </c>
      <c r="BV129">
        <v>148</v>
      </c>
      <c r="BW129" s="6">
        <f>BV129/BV131</f>
        <v>0.82222222222222219</v>
      </c>
      <c r="BX129" s="6">
        <f>148/$BX$3</f>
        <v>0.48524590163934428</v>
      </c>
      <c r="BZ129">
        <v>100</v>
      </c>
      <c r="CA129" s="6">
        <f>BZ129/BZ131</f>
        <v>0.83333333333333337</v>
      </c>
      <c r="CB129" s="6">
        <f>100/$CB$3</f>
        <v>0.44642857142857145</v>
      </c>
      <c r="CD129">
        <v>131</v>
      </c>
      <c r="CE129" s="6">
        <f>CD129/CD131</f>
        <v>0.86184210526315785</v>
      </c>
      <c r="CF129" s="6">
        <f>131/$CF$3</f>
        <v>0.54356846473029041</v>
      </c>
      <c r="CH129">
        <v>174</v>
      </c>
      <c r="CI129" s="6">
        <f>CH129/CH131</f>
        <v>0.81308411214953269</v>
      </c>
      <c r="CJ129" s="6">
        <f>174/$CJ$3</f>
        <v>0.52727272727272723</v>
      </c>
    </row>
    <row r="130" spans="1:88" x14ac:dyDescent="0.35">
      <c r="A130" s="1" t="s">
        <v>409</v>
      </c>
      <c r="B130">
        <v>0</v>
      </c>
      <c r="C130" s="6">
        <f>B130/B131</f>
        <v>0</v>
      </c>
      <c r="D130" s="6">
        <f>0/$D$3</f>
        <v>0</v>
      </c>
      <c r="F130">
        <v>0</v>
      </c>
      <c r="G130" s="6">
        <f>F130/F131</f>
        <v>0</v>
      </c>
      <c r="H130" s="6">
        <f>0/$H$3</f>
        <v>0</v>
      </c>
      <c r="J130">
        <v>0</v>
      </c>
      <c r="K130" s="6">
        <v>0</v>
      </c>
      <c r="L130" s="6">
        <f>0/$L$3</f>
        <v>0</v>
      </c>
      <c r="N130">
        <v>0</v>
      </c>
      <c r="O130" s="6">
        <f>N130/N131</f>
        <v>0</v>
      </c>
      <c r="P130" s="6">
        <f>0/$P$3</f>
        <v>0</v>
      </c>
      <c r="R130">
        <v>0</v>
      </c>
      <c r="S130" s="6">
        <f>R130/R131</f>
        <v>0</v>
      </c>
      <c r="T130" s="6">
        <f>0/$T$3</f>
        <v>0</v>
      </c>
      <c r="V130">
        <v>0</v>
      </c>
      <c r="W130" s="6">
        <f>V130/V131</f>
        <v>0</v>
      </c>
      <c r="X130" s="6">
        <f>0/$X$3</f>
        <v>0</v>
      </c>
      <c r="Z130">
        <v>0</v>
      </c>
      <c r="AA130" s="6">
        <f>Z130/Z131</f>
        <v>0</v>
      </c>
      <c r="AB130" s="6">
        <f>0/$AB$3</f>
        <v>0</v>
      </c>
      <c r="AD130">
        <v>0</v>
      </c>
      <c r="AE130" s="6">
        <f>AD130/AD131</f>
        <v>0</v>
      </c>
      <c r="AF130" s="6">
        <f>0/$AF$3</f>
        <v>0</v>
      </c>
      <c r="AH130">
        <v>0</v>
      </c>
      <c r="AI130" s="6">
        <f>AH130/AH131</f>
        <v>0</v>
      </c>
      <c r="AJ130" s="6">
        <f>0/$AJ$3</f>
        <v>0</v>
      </c>
      <c r="AL130">
        <v>0</v>
      </c>
      <c r="AM130" s="6">
        <f>AL130/AL131</f>
        <v>0</v>
      </c>
      <c r="AN130" s="6">
        <f>0/$AN$3</f>
        <v>0</v>
      </c>
      <c r="AP130">
        <v>0</v>
      </c>
      <c r="AQ130" s="6">
        <f>AP130/AP131</f>
        <v>0</v>
      </c>
      <c r="AR130" s="6">
        <f>0/$AR$3</f>
        <v>0</v>
      </c>
      <c r="AT130">
        <v>0</v>
      </c>
      <c r="AU130" s="6">
        <f>AT130/AT131</f>
        <v>0</v>
      </c>
      <c r="AV130" s="6">
        <f>0/$AV$3</f>
        <v>0</v>
      </c>
      <c r="AX130">
        <v>0</v>
      </c>
      <c r="AY130" s="6">
        <f>AX130/AX131</f>
        <v>0</v>
      </c>
      <c r="AZ130" s="6">
        <f>0/$AZ$3</f>
        <v>0</v>
      </c>
      <c r="BB130">
        <v>0</v>
      </c>
      <c r="BC130" s="6">
        <f>BB130/BB131</f>
        <v>0</v>
      </c>
      <c r="BD130" s="6">
        <f>0/$BD$3</f>
        <v>0</v>
      </c>
      <c r="BF130">
        <v>0</v>
      </c>
      <c r="BG130" s="6">
        <f>BF130/BF131</f>
        <v>0</v>
      </c>
      <c r="BH130" s="6">
        <f>0/$BH$3</f>
        <v>0</v>
      </c>
      <c r="BJ130">
        <v>0</v>
      </c>
      <c r="BK130" s="6">
        <f>BJ130/BJ131</f>
        <v>0</v>
      </c>
      <c r="BL130" s="6">
        <f>0/$BL$3</f>
        <v>0</v>
      </c>
      <c r="BN130">
        <v>0</v>
      </c>
      <c r="BO130" s="6">
        <f>BN130/BN131</f>
        <v>0</v>
      </c>
      <c r="BP130" s="6">
        <f>0/$BP$3</f>
        <v>0</v>
      </c>
      <c r="BR130">
        <v>0</v>
      </c>
      <c r="BS130" s="6">
        <f>BR130/BR131</f>
        <v>0</v>
      </c>
      <c r="BT130" s="6">
        <f>0/$BT$3</f>
        <v>0</v>
      </c>
      <c r="BV130">
        <v>0</v>
      </c>
      <c r="BW130" s="6">
        <f>BV130/BV131</f>
        <v>0</v>
      </c>
      <c r="BX130" s="6">
        <f>0/$BX$3</f>
        <v>0</v>
      </c>
      <c r="BZ130">
        <v>0</v>
      </c>
      <c r="CA130" s="6">
        <f>BZ130/BZ131</f>
        <v>0</v>
      </c>
      <c r="CB130" s="6">
        <f>0/$CB$3</f>
        <v>0</v>
      </c>
      <c r="CD130">
        <v>0</v>
      </c>
      <c r="CE130" s="6">
        <f>CD130/CD131</f>
        <v>0</v>
      </c>
      <c r="CF130" s="6">
        <f>0/$CF$3</f>
        <v>0</v>
      </c>
      <c r="CH130">
        <v>0</v>
      </c>
      <c r="CI130" s="6">
        <f>CH130/CH131</f>
        <v>0</v>
      </c>
      <c r="CJ130" s="6">
        <f>0/$CJ$3</f>
        <v>0</v>
      </c>
    </row>
    <row r="131" spans="1:88" s="10" customFormat="1" x14ac:dyDescent="0.35">
      <c r="A131" s="11" t="s">
        <v>411</v>
      </c>
      <c r="B131" s="10">
        <v>666</v>
      </c>
      <c r="F131" s="10">
        <v>514</v>
      </c>
      <c r="J131" s="10">
        <v>0</v>
      </c>
      <c r="N131" s="10">
        <v>81</v>
      </c>
      <c r="R131" s="10">
        <v>311</v>
      </c>
      <c r="V131" s="10">
        <v>355</v>
      </c>
      <c r="Z131" s="10">
        <v>61</v>
      </c>
      <c r="AD131" s="10">
        <v>118</v>
      </c>
      <c r="AH131" s="10">
        <v>155</v>
      </c>
      <c r="AL131" s="10">
        <v>132</v>
      </c>
      <c r="AP131" s="10">
        <v>115</v>
      </c>
      <c r="AT131" s="10">
        <v>85</v>
      </c>
      <c r="AX131" s="10">
        <v>245</v>
      </c>
      <c r="BB131" s="10">
        <v>260</v>
      </c>
      <c r="BF131" s="10">
        <v>161</v>
      </c>
      <c r="BJ131" s="10">
        <v>250</v>
      </c>
      <c r="BN131" s="10">
        <v>254</v>
      </c>
      <c r="BR131" s="10">
        <v>162</v>
      </c>
      <c r="BV131" s="10">
        <v>180</v>
      </c>
      <c r="BZ131" s="10">
        <v>120</v>
      </c>
      <c r="CD131" s="10">
        <v>152</v>
      </c>
      <c r="CH131" s="10">
        <v>214</v>
      </c>
    </row>
    <row r="132" spans="1:88" hidden="1" x14ac:dyDescent="0.35">
      <c r="A132" s="12" t="s">
        <v>412</v>
      </c>
      <c r="B132">
        <v>0</v>
      </c>
      <c r="F132">
        <v>0</v>
      </c>
      <c r="J132">
        <v>0</v>
      </c>
      <c r="N132">
        <v>0</v>
      </c>
      <c r="R132">
        <v>0</v>
      </c>
      <c r="V132">
        <v>0</v>
      </c>
      <c r="Z132">
        <v>0</v>
      </c>
      <c r="AD132">
        <v>0</v>
      </c>
      <c r="AH132">
        <v>0</v>
      </c>
      <c r="AL132">
        <v>0</v>
      </c>
      <c r="AP132">
        <v>0</v>
      </c>
      <c r="AT132">
        <v>0</v>
      </c>
      <c r="AX132">
        <v>0</v>
      </c>
      <c r="BB132">
        <v>0</v>
      </c>
      <c r="BF132">
        <v>0</v>
      </c>
      <c r="BJ132">
        <v>0</v>
      </c>
      <c r="BN132">
        <v>0</v>
      </c>
      <c r="BR132">
        <v>0</v>
      </c>
      <c r="BV132">
        <v>0</v>
      </c>
      <c r="BZ132">
        <v>0</v>
      </c>
      <c r="CD132">
        <v>0</v>
      </c>
      <c r="CH132">
        <v>0</v>
      </c>
    </row>
    <row r="133" spans="1:88" s="13" customFormat="1" x14ac:dyDescent="0.35">
      <c r="A133" s="12" t="s">
        <v>413</v>
      </c>
      <c r="B133" s="13">
        <v>434</v>
      </c>
      <c r="F133" s="13">
        <v>397</v>
      </c>
      <c r="J133" s="13">
        <v>434</v>
      </c>
      <c r="N133" s="13">
        <v>0</v>
      </c>
      <c r="R133" s="13">
        <v>249</v>
      </c>
      <c r="V133" s="13">
        <v>185</v>
      </c>
      <c r="Z133" s="13">
        <v>52</v>
      </c>
      <c r="AD133" s="13">
        <v>80</v>
      </c>
      <c r="AH133" s="13">
        <v>92</v>
      </c>
      <c r="AL133" s="13">
        <v>100</v>
      </c>
      <c r="AP133" s="13">
        <v>71</v>
      </c>
      <c r="AT133" s="13">
        <v>39</v>
      </c>
      <c r="AX133" s="13">
        <v>185</v>
      </c>
      <c r="BB133" s="13">
        <v>168</v>
      </c>
      <c r="BF133" s="13">
        <v>81</v>
      </c>
      <c r="BJ133" s="13">
        <v>153</v>
      </c>
      <c r="BN133" s="13">
        <v>169</v>
      </c>
      <c r="BR133" s="13">
        <v>112</v>
      </c>
      <c r="BV133" s="13">
        <v>125</v>
      </c>
      <c r="BZ133" s="13">
        <v>104</v>
      </c>
      <c r="CD133" s="13">
        <v>89</v>
      </c>
      <c r="CH133" s="13">
        <v>116</v>
      </c>
    </row>
    <row r="135" spans="1:88" x14ac:dyDescent="0.35">
      <c r="AB135" s="2" t="s">
        <v>3</v>
      </c>
      <c r="AF135" s="2" t="s">
        <v>4</v>
      </c>
      <c r="AJ135" s="2" t="s">
        <v>5</v>
      </c>
      <c r="AN135" s="2" t="s">
        <v>6</v>
      </c>
      <c r="AR135" s="2" t="s">
        <v>7</v>
      </c>
      <c r="AV135" s="2" t="s">
        <v>8</v>
      </c>
      <c r="AZ135" s="2" t="s">
        <v>3</v>
      </c>
      <c r="BD135" s="2" t="s">
        <v>4</v>
      </c>
      <c r="BH135" s="2" t="s">
        <v>5</v>
      </c>
      <c r="BL135" s="2" t="s">
        <v>3</v>
      </c>
      <c r="BP135" s="2" t="s">
        <v>4</v>
      </c>
      <c r="BT135" s="2" t="s">
        <v>5</v>
      </c>
      <c r="BX135" s="2" t="s">
        <v>3</v>
      </c>
      <c r="CB135" s="2" t="s">
        <v>4</v>
      </c>
      <c r="CF135" s="2" t="s">
        <v>5</v>
      </c>
      <c r="CJ135" s="2" t="s">
        <v>6</v>
      </c>
    </row>
    <row r="136" spans="1:88" s="3" customFormat="1" x14ac:dyDescent="0.35">
      <c r="A136" s="3" t="s">
        <v>485</v>
      </c>
      <c r="D136" s="5" t="s">
        <v>406</v>
      </c>
      <c r="H136" s="5" t="s">
        <v>406</v>
      </c>
      <c r="L136" s="5" t="s">
        <v>406</v>
      </c>
      <c r="P136" s="5" t="s">
        <v>406</v>
      </c>
      <c r="T136" s="5" t="s">
        <v>406</v>
      </c>
      <c r="X136" s="5" t="s">
        <v>406</v>
      </c>
      <c r="AB136" s="5" t="s">
        <v>406</v>
      </c>
      <c r="AF136" s="5" t="s">
        <v>406</v>
      </c>
      <c r="AJ136" s="5" t="s">
        <v>406</v>
      </c>
      <c r="AN136" s="5" t="s">
        <v>406</v>
      </c>
      <c r="AR136" s="5" t="s">
        <v>406</v>
      </c>
      <c r="AV136" s="5" t="s">
        <v>406</v>
      </c>
      <c r="AZ136" s="5" t="s">
        <v>406</v>
      </c>
      <c r="BD136" s="5" t="s">
        <v>406</v>
      </c>
      <c r="BH136" s="5" t="s">
        <v>406</v>
      </c>
      <c r="BL136" s="5" t="s">
        <v>406</v>
      </c>
      <c r="BP136" s="5" t="s">
        <v>406</v>
      </c>
      <c r="BT136" s="5" t="s">
        <v>406</v>
      </c>
      <c r="BX136" s="5" t="s">
        <v>406</v>
      </c>
      <c r="CB136" s="5" t="s">
        <v>406</v>
      </c>
      <c r="CF136" s="5" t="s">
        <v>406</v>
      </c>
      <c r="CJ136" s="5" t="s">
        <v>406</v>
      </c>
    </row>
    <row r="137" spans="1:88" x14ac:dyDescent="0.35">
      <c r="A137" s="1" t="s">
        <v>486</v>
      </c>
      <c r="B137">
        <v>130</v>
      </c>
      <c r="C137" s="6">
        <f>B137/B143</f>
        <v>0.11818181818181818</v>
      </c>
      <c r="D137" s="6">
        <f>130/$D$3</f>
        <v>0.11818181818181818</v>
      </c>
      <c r="F137">
        <v>100</v>
      </c>
      <c r="G137" s="6">
        <f>F137/F143</f>
        <v>0.10976948408342481</v>
      </c>
      <c r="H137" s="6">
        <f>100/$H$3</f>
        <v>0.10976948408342481</v>
      </c>
      <c r="J137">
        <v>52</v>
      </c>
      <c r="K137" s="6">
        <f>J137/J143</f>
        <v>0.11981566820276497</v>
      </c>
      <c r="L137" s="6">
        <f>52/$L$3</f>
        <v>0.11981566820276497</v>
      </c>
      <c r="N137">
        <v>11</v>
      </c>
      <c r="O137" s="6">
        <f>N137/N143</f>
        <v>0.13580246913580246</v>
      </c>
      <c r="P137" s="6">
        <f>11/$P$3</f>
        <v>0.13580246913580246</v>
      </c>
      <c r="R137">
        <v>65</v>
      </c>
      <c r="S137" s="6">
        <f>R137/R143</f>
        <v>0.11607142857142858</v>
      </c>
      <c r="T137" s="6">
        <f>65/$T$3</f>
        <v>0.11607142857142858</v>
      </c>
      <c r="V137">
        <v>65</v>
      </c>
      <c r="W137" s="6">
        <f>V137/V143</f>
        <v>0.12037037037037036</v>
      </c>
      <c r="X137" s="6">
        <f>65/$X$3</f>
        <v>0.12037037037037036</v>
      </c>
      <c r="Z137">
        <v>24</v>
      </c>
      <c r="AA137" s="6">
        <f>Z137/Z143</f>
        <v>0.21238938053097345</v>
      </c>
      <c r="AB137" s="9">
        <f>24/$AB$3</f>
        <v>0.21238938053097345</v>
      </c>
      <c r="AC137" s="7"/>
      <c r="AD137">
        <v>24</v>
      </c>
      <c r="AE137" s="6">
        <f>AD137/AD143</f>
        <v>0.12121212121212122</v>
      </c>
      <c r="AF137" s="6">
        <f>24/$AF$3</f>
        <v>0.12121212121212122</v>
      </c>
      <c r="AH137">
        <v>30</v>
      </c>
      <c r="AI137" s="6">
        <f>AH137/AH143</f>
        <v>0.1214574898785425</v>
      </c>
      <c r="AJ137" s="6">
        <f>30/$AJ$3</f>
        <v>0.1214574898785425</v>
      </c>
      <c r="AL137">
        <v>17</v>
      </c>
      <c r="AM137" s="6">
        <f>AL137/AL143</f>
        <v>7.3275862068965511E-2</v>
      </c>
      <c r="AN137" s="6">
        <f>17/$AN$3</f>
        <v>7.3275862068965511E-2</v>
      </c>
      <c r="AP137">
        <v>21</v>
      </c>
      <c r="AQ137" s="6">
        <f>AP137/AP143</f>
        <v>0.11290322580645161</v>
      </c>
      <c r="AR137" s="6">
        <f>21/$AR$3</f>
        <v>0.11290322580645161</v>
      </c>
      <c r="AT137">
        <v>14</v>
      </c>
      <c r="AU137" s="6">
        <f>AT137/AT143</f>
        <v>0.11290322580645161</v>
      </c>
      <c r="AV137" s="6">
        <f>14/$AV$3</f>
        <v>0.11290322580645161</v>
      </c>
      <c r="AX137">
        <v>35</v>
      </c>
      <c r="AY137" s="6">
        <f>AX137/AX143</f>
        <v>8.1395348837209308E-2</v>
      </c>
      <c r="AZ137" s="6">
        <f>35/$AZ$3</f>
        <v>8.1395348837209308E-2</v>
      </c>
      <c r="BB137">
        <v>53</v>
      </c>
      <c r="BC137" s="6">
        <f>BB137/BB143</f>
        <v>0.12383177570093458</v>
      </c>
      <c r="BD137" s="6">
        <f>53/$BD$3</f>
        <v>0.12383177570093458</v>
      </c>
      <c r="BF137">
        <v>42</v>
      </c>
      <c r="BG137" s="6">
        <f>BF137/BF143</f>
        <v>0.17355371900826447</v>
      </c>
      <c r="BH137" s="9">
        <f>42/$BH$3</f>
        <v>0.17355371900826447</v>
      </c>
      <c r="BI137" s="7" t="s">
        <v>3</v>
      </c>
      <c r="BJ137">
        <v>46</v>
      </c>
      <c r="BK137" s="6">
        <f>BJ137/BJ143</f>
        <v>0.11414392059553349</v>
      </c>
      <c r="BL137" s="6">
        <f>46/$BL$3</f>
        <v>0.11414392059553349</v>
      </c>
      <c r="BN137">
        <v>47</v>
      </c>
      <c r="BO137" s="6">
        <f>BN137/BN143</f>
        <v>0.1111111111111111</v>
      </c>
      <c r="BP137" s="6">
        <f>47/$BP$3</f>
        <v>0.1111111111111111</v>
      </c>
      <c r="BR137">
        <v>37</v>
      </c>
      <c r="BS137" s="6">
        <f>BR137/BR143</f>
        <v>0.13503649635036497</v>
      </c>
      <c r="BT137" s="6">
        <f>37/$BT$3</f>
        <v>0.13503649635036497</v>
      </c>
      <c r="BV137">
        <v>41</v>
      </c>
      <c r="BW137" s="6">
        <f>BV137/BV143</f>
        <v>0.13442622950819672</v>
      </c>
      <c r="BX137" s="6">
        <f>41/$BX$3</f>
        <v>0.13442622950819672</v>
      </c>
      <c r="BZ137">
        <v>26</v>
      </c>
      <c r="CA137" s="6">
        <f>BZ137/BZ143</f>
        <v>0.11607142857142858</v>
      </c>
      <c r="CB137" s="6">
        <f>26/$CB$3</f>
        <v>0.11607142857142858</v>
      </c>
      <c r="CD137">
        <v>22</v>
      </c>
      <c r="CE137" s="6">
        <f>CD137/CD143</f>
        <v>9.1286307053941904E-2</v>
      </c>
      <c r="CF137" s="6">
        <f>22/$CF$3</f>
        <v>9.1286307053941904E-2</v>
      </c>
      <c r="CH137">
        <v>41</v>
      </c>
      <c r="CI137" s="6">
        <f>CH137/CH143</f>
        <v>0.12424242424242424</v>
      </c>
      <c r="CJ137" s="6">
        <f>41/$CJ$3</f>
        <v>0.12424242424242424</v>
      </c>
    </row>
    <row r="138" spans="1:88" x14ac:dyDescent="0.35">
      <c r="A138" s="1" t="s">
        <v>487</v>
      </c>
      <c r="B138">
        <v>136</v>
      </c>
      <c r="C138" s="6">
        <f>B138/B143</f>
        <v>0.12363636363636364</v>
      </c>
      <c r="D138" s="6">
        <f>136/$D$3</f>
        <v>0.12363636363636364</v>
      </c>
      <c r="F138">
        <v>112</v>
      </c>
      <c r="G138" s="6">
        <f>F138/F143</f>
        <v>0.12294182217343579</v>
      </c>
      <c r="H138" s="6">
        <f>112/$H$3</f>
        <v>0.12294182217343579</v>
      </c>
      <c r="J138">
        <v>53</v>
      </c>
      <c r="K138" s="6">
        <f>J138/J143</f>
        <v>0.12211981566820276</v>
      </c>
      <c r="L138" s="6">
        <f>53/$L$3</f>
        <v>0.12211981566820276</v>
      </c>
      <c r="N138">
        <v>9</v>
      </c>
      <c r="O138" s="6">
        <f>N138/N143</f>
        <v>0.1111111111111111</v>
      </c>
      <c r="P138" s="6">
        <f>9/$P$3</f>
        <v>0.1111111111111111</v>
      </c>
      <c r="R138">
        <v>64</v>
      </c>
      <c r="S138" s="6">
        <f>R138/R143</f>
        <v>0.11428571428571428</v>
      </c>
      <c r="T138" s="6">
        <f>64/$T$3</f>
        <v>0.11428571428571428</v>
      </c>
      <c r="V138">
        <v>72</v>
      </c>
      <c r="W138" s="6">
        <f>V138/V143</f>
        <v>0.13333333333333333</v>
      </c>
      <c r="X138" s="6">
        <f>72/$X$3</f>
        <v>0.13333333333333333</v>
      </c>
      <c r="Z138">
        <v>16</v>
      </c>
      <c r="AA138" s="6">
        <f>Z138/Z143</f>
        <v>0.1415929203539823</v>
      </c>
      <c r="AB138" s="6">
        <f>16/$AB$3</f>
        <v>0.1415929203539823</v>
      </c>
      <c r="AD138">
        <v>23</v>
      </c>
      <c r="AE138" s="6">
        <f>AD138/AD143</f>
        <v>0.11616161616161616</v>
      </c>
      <c r="AF138" s="6">
        <f>23/$AF$3</f>
        <v>0.11616161616161616</v>
      </c>
      <c r="AH138">
        <v>38</v>
      </c>
      <c r="AI138" s="6">
        <f>AH138/AH143</f>
        <v>0.15384615384615385</v>
      </c>
      <c r="AJ138" s="6">
        <f>38/$AJ$3</f>
        <v>0.15384615384615385</v>
      </c>
      <c r="AL138">
        <v>29</v>
      </c>
      <c r="AM138" s="6">
        <f>AL138/AL143</f>
        <v>0.125</v>
      </c>
      <c r="AN138" s="6">
        <f>29/$AN$3</f>
        <v>0.125</v>
      </c>
      <c r="AP138">
        <v>16</v>
      </c>
      <c r="AQ138" s="6">
        <f>AP138/AP143</f>
        <v>8.6021505376344093E-2</v>
      </c>
      <c r="AR138" s="6">
        <f>16/$AR$3</f>
        <v>8.6021505376344093E-2</v>
      </c>
      <c r="AT138">
        <v>14</v>
      </c>
      <c r="AU138" s="6">
        <f>AT138/AT143</f>
        <v>0.11290322580645161</v>
      </c>
      <c r="AV138" s="6">
        <f>14/$AV$3</f>
        <v>0.11290322580645161</v>
      </c>
      <c r="AX138">
        <v>51</v>
      </c>
      <c r="AY138" s="6">
        <f>AX138/AX143</f>
        <v>0.1186046511627907</v>
      </c>
      <c r="AZ138" s="6">
        <f>51/$AZ$3</f>
        <v>0.1186046511627907</v>
      </c>
      <c r="BB138">
        <v>53</v>
      </c>
      <c r="BC138" s="6">
        <f>BB138/BB143</f>
        <v>0.12383177570093458</v>
      </c>
      <c r="BD138" s="6">
        <f>53/$BD$3</f>
        <v>0.12383177570093458</v>
      </c>
      <c r="BF138">
        <v>32</v>
      </c>
      <c r="BG138" s="6">
        <f>BF138/BF143</f>
        <v>0.13223140495867769</v>
      </c>
      <c r="BH138" s="6">
        <f>32/$BH$3</f>
        <v>0.13223140495867769</v>
      </c>
      <c r="BJ138">
        <v>52</v>
      </c>
      <c r="BK138" s="6">
        <f>BJ138/BJ143</f>
        <v>0.12903225806451613</v>
      </c>
      <c r="BL138" s="6">
        <f>52/$BL$3</f>
        <v>0.12903225806451613</v>
      </c>
      <c r="BN138">
        <v>60</v>
      </c>
      <c r="BO138" s="6">
        <f>BN138/BN143</f>
        <v>0.14184397163120568</v>
      </c>
      <c r="BP138" s="6">
        <f>60/$BP$3</f>
        <v>0.14184397163120568</v>
      </c>
      <c r="BR138">
        <v>24</v>
      </c>
      <c r="BS138" s="6">
        <f>BR138/BR143</f>
        <v>8.7591240875912413E-2</v>
      </c>
      <c r="BT138" s="6">
        <f>24/$BT$3</f>
        <v>8.7591240875912413E-2</v>
      </c>
      <c r="BV138">
        <v>42</v>
      </c>
      <c r="BW138" s="6">
        <f>BV138/BV143</f>
        <v>0.13770491803278689</v>
      </c>
      <c r="BX138" s="6">
        <f>42/$BX$3</f>
        <v>0.13770491803278689</v>
      </c>
      <c r="BZ138">
        <v>24</v>
      </c>
      <c r="CA138" s="6">
        <f>BZ138/BZ143</f>
        <v>0.10714285714285714</v>
      </c>
      <c r="CB138" s="6">
        <f>24/$CB$3</f>
        <v>0.10714285714285714</v>
      </c>
      <c r="CD138">
        <v>27</v>
      </c>
      <c r="CE138" s="6">
        <f>CD138/CD143</f>
        <v>0.11203319502074689</v>
      </c>
      <c r="CF138" s="6">
        <f>27/$CF$3</f>
        <v>0.11203319502074689</v>
      </c>
      <c r="CH138">
        <v>43</v>
      </c>
      <c r="CI138" s="6">
        <f>CH138/CH143</f>
        <v>0.13030303030303031</v>
      </c>
      <c r="CJ138" s="6">
        <f>43/$CJ$3</f>
        <v>0.13030303030303031</v>
      </c>
    </row>
    <row r="139" spans="1:88" x14ac:dyDescent="0.35">
      <c r="A139" s="1" t="s">
        <v>488</v>
      </c>
      <c r="B139">
        <v>122</v>
      </c>
      <c r="C139" s="6">
        <f>B139/B143</f>
        <v>0.11090909090909092</v>
      </c>
      <c r="D139" s="6">
        <f>122/$D$3</f>
        <v>0.11090909090909092</v>
      </c>
      <c r="F139">
        <v>105</v>
      </c>
      <c r="G139" s="6">
        <f>F139/F143</f>
        <v>0.11525795828759605</v>
      </c>
      <c r="H139" s="6">
        <f>105/$H$3</f>
        <v>0.11525795828759605</v>
      </c>
      <c r="J139">
        <v>33</v>
      </c>
      <c r="K139" s="6">
        <f>J139/J143</f>
        <v>7.6036866359447008E-2</v>
      </c>
      <c r="L139" s="6">
        <f>33/$L$3</f>
        <v>7.6036866359447008E-2</v>
      </c>
      <c r="N139">
        <v>11</v>
      </c>
      <c r="O139" s="6">
        <f>N139/N143</f>
        <v>0.13580246913580246</v>
      </c>
      <c r="P139" s="6">
        <f>11/$P$3</f>
        <v>0.13580246913580246</v>
      </c>
      <c r="R139">
        <v>61</v>
      </c>
      <c r="S139" s="6">
        <f>R139/R143</f>
        <v>0.10892857142857143</v>
      </c>
      <c r="T139" s="6">
        <f>61/$T$3</f>
        <v>0.10892857142857143</v>
      </c>
      <c r="V139">
        <v>61</v>
      </c>
      <c r="W139" s="6">
        <f>V139/V143</f>
        <v>0.11296296296296296</v>
      </c>
      <c r="X139" s="6">
        <f>61/$X$3</f>
        <v>0.11296296296296296</v>
      </c>
      <c r="Z139">
        <v>13</v>
      </c>
      <c r="AA139" s="6">
        <f>Z139/Z143</f>
        <v>0.11504424778761062</v>
      </c>
      <c r="AB139" s="6">
        <f>13/$AB$3</f>
        <v>0.11504424778761062</v>
      </c>
      <c r="AD139">
        <v>21</v>
      </c>
      <c r="AE139" s="6">
        <f>AD139/AD143</f>
        <v>0.10606060606060606</v>
      </c>
      <c r="AF139" s="6">
        <f>21/$AF$3</f>
        <v>0.10606060606060606</v>
      </c>
      <c r="AH139">
        <v>23</v>
      </c>
      <c r="AI139" s="6">
        <f>AH139/AH143</f>
        <v>9.3117408906882596E-2</v>
      </c>
      <c r="AJ139" s="6">
        <f>23/$AJ$3</f>
        <v>9.3117408906882596E-2</v>
      </c>
      <c r="AL139">
        <v>26</v>
      </c>
      <c r="AM139" s="6">
        <f>AL139/AL143</f>
        <v>0.11206896551724138</v>
      </c>
      <c r="AN139" s="6">
        <f>26/$AN$3</f>
        <v>0.11206896551724138</v>
      </c>
      <c r="AP139">
        <v>19</v>
      </c>
      <c r="AQ139" s="6">
        <f>AP139/AP143</f>
        <v>0.10215053763440861</v>
      </c>
      <c r="AR139" s="6">
        <f>19/$AR$3</f>
        <v>0.10215053763440861</v>
      </c>
      <c r="AT139">
        <v>20</v>
      </c>
      <c r="AU139" s="6">
        <f>AT139/AT143</f>
        <v>0.16129032258064516</v>
      </c>
      <c r="AV139" s="6">
        <f>20/$AV$3</f>
        <v>0.16129032258064516</v>
      </c>
      <c r="AX139">
        <v>45</v>
      </c>
      <c r="AY139" s="6">
        <f>AX139/AX143</f>
        <v>0.10465116279069768</v>
      </c>
      <c r="AZ139" s="6">
        <f>45/$AZ$3</f>
        <v>0.10465116279069768</v>
      </c>
      <c r="BB139">
        <v>48</v>
      </c>
      <c r="BC139" s="6">
        <f>BB139/BB143</f>
        <v>0.11214953271028037</v>
      </c>
      <c r="BD139" s="6">
        <f>48/$BD$3</f>
        <v>0.11214953271028037</v>
      </c>
      <c r="BF139">
        <v>29</v>
      </c>
      <c r="BG139" s="6">
        <f>BF139/BF143</f>
        <v>0.11983471074380166</v>
      </c>
      <c r="BH139" s="6">
        <f>29/$BH$3</f>
        <v>0.11983471074380166</v>
      </c>
      <c r="BJ139">
        <v>45</v>
      </c>
      <c r="BK139" s="6">
        <f>BJ139/BJ143</f>
        <v>0.11166253101736973</v>
      </c>
      <c r="BL139" s="6">
        <f>45/$BL$3</f>
        <v>0.11166253101736973</v>
      </c>
      <c r="BN139">
        <v>55</v>
      </c>
      <c r="BO139" s="6">
        <f>BN139/BN143</f>
        <v>0.13002364066193853</v>
      </c>
      <c r="BP139" s="6">
        <f>55/$BP$3</f>
        <v>0.13002364066193853</v>
      </c>
      <c r="BR139">
        <v>22</v>
      </c>
      <c r="BS139" s="6">
        <f>BR139/BR143</f>
        <v>8.0291970802919707E-2</v>
      </c>
      <c r="BT139" s="6">
        <f>22/$BT$3</f>
        <v>8.0291970802919707E-2</v>
      </c>
      <c r="BV139">
        <v>30</v>
      </c>
      <c r="BW139" s="6">
        <f>BV139/BV143</f>
        <v>9.8360655737704916E-2</v>
      </c>
      <c r="BX139" s="6">
        <f>30/$BX$3</f>
        <v>9.8360655737704916E-2</v>
      </c>
      <c r="BZ139">
        <v>28</v>
      </c>
      <c r="CA139" s="6">
        <f>BZ139/BZ143</f>
        <v>0.125</v>
      </c>
      <c r="CB139" s="6">
        <f>28/$CB$3</f>
        <v>0.125</v>
      </c>
      <c r="CD139">
        <v>27</v>
      </c>
      <c r="CE139" s="6">
        <f>CD139/CD143</f>
        <v>0.11203319502074689</v>
      </c>
      <c r="CF139" s="6">
        <f>27/$CF$3</f>
        <v>0.11203319502074689</v>
      </c>
      <c r="CH139">
        <v>37</v>
      </c>
      <c r="CI139" s="6">
        <f>CH139/CH143</f>
        <v>0.11212121212121212</v>
      </c>
      <c r="CJ139" s="6">
        <f>37/$CJ$3</f>
        <v>0.11212121212121212</v>
      </c>
    </row>
    <row r="140" spans="1:88" x14ac:dyDescent="0.35">
      <c r="A140" s="1" t="s">
        <v>489</v>
      </c>
      <c r="B140">
        <v>266</v>
      </c>
      <c r="C140" s="6">
        <f>B140/B143</f>
        <v>0.24181818181818182</v>
      </c>
      <c r="D140" s="6">
        <f>266/$D$3</f>
        <v>0.24181818181818182</v>
      </c>
      <c r="F140">
        <v>225</v>
      </c>
      <c r="G140" s="6">
        <f>F140/F143</f>
        <v>0.24698133918770582</v>
      </c>
      <c r="H140" s="6">
        <f>225/$H$3</f>
        <v>0.24698133918770582</v>
      </c>
      <c r="J140">
        <v>70</v>
      </c>
      <c r="K140" s="6">
        <f>J140/J143</f>
        <v>0.16129032258064516</v>
      </c>
      <c r="L140" s="8">
        <f>70/$L$3</f>
        <v>0.16129032258064516</v>
      </c>
      <c r="N140">
        <v>28</v>
      </c>
      <c r="O140" s="6">
        <f>N140/N143</f>
        <v>0.34567901234567899</v>
      </c>
      <c r="P140" s="9">
        <f>28/$P$3</f>
        <v>0.34567901234567899</v>
      </c>
      <c r="R140">
        <v>131</v>
      </c>
      <c r="S140" s="6">
        <f>R140/R143</f>
        <v>0.23392857142857143</v>
      </c>
      <c r="T140" s="6">
        <f>131/$T$3</f>
        <v>0.23392857142857143</v>
      </c>
      <c r="V140">
        <v>135</v>
      </c>
      <c r="W140" s="6">
        <f>V140/V143</f>
        <v>0.25</v>
      </c>
      <c r="X140" s="6">
        <f>135/$X$3</f>
        <v>0.25</v>
      </c>
      <c r="Z140">
        <v>16</v>
      </c>
      <c r="AA140" s="6">
        <f>Z140/Z143</f>
        <v>0.1415929203539823</v>
      </c>
      <c r="AB140" s="8">
        <f>16/$AB$3</f>
        <v>0.1415929203539823</v>
      </c>
      <c r="AD140">
        <v>42</v>
      </c>
      <c r="AE140" s="6">
        <f>AD140/AD143</f>
        <v>0.21212121212121213</v>
      </c>
      <c r="AF140" s="6">
        <f>42/$AF$3</f>
        <v>0.21212121212121213</v>
      </c>
      <c r="AH140">
        <v>71</v>
      </c>
      <c r="AI140" s="6">
        <f>AH140/AH143</f>
        <v>0.2874493927125506</v>
      </c>
      <c r="AJ140" s="6">
        <f>71/$AJ$3</f>
        <v>0.2874493927125506</v>
      </c>
      <c r="AK140" s="7"/>
      <c r="AL140">
        <v>61</v>
      </c>
      <c r="AM140" s="6">
        <f>AL140/AL143</f>
        <v>0.26293103448275862</v>
      </c>
      <c r="AN140" s="6">
        <f>61/$AN$3</f>
        <v>0.26293103448275862</v>
      </c>
      <c r="AO140" s="7"/>
      <c r="AP140">
        <v>42</v>
      </c>
      <c r="AQ140" s="6">
        <f>AP140/AP143</f>
        <v>0.22580645161290322</v>
      </c>
      <c r="AR140" s="6">
        <f>42/$AR$3</f>
        <v>0.22580645161290322</v>
      </c>
      <c r="AT140">
        <v>34</v>
      </c>
      <c r="AU140" s="6">
        <f>AT140/AT143</f>
        <v>0.27419354838709675</v>
      </c>
      <c r="AV140" s="6">
        <f>34/$AV$3</f>
        <v>0.27419354838709675</v>
      </c>
      <c r="AX140">
        <v>97</v>
      </c>
      <c r="AY140" s="6">
        <f>AX140/AX143</f>
        <v>0.2255813953488372</v>
      </c>
      <c r="AZ140" s="6">
        <f>97/$AZ$3</f>
        <v>0.2255813953488372</v>
      </c>
      <c r="BB140">
        <v>100</v>
      </c>
      <c r="BC140" s="6">
        <f>BB140/BB143</f>
        <v>0.23364485981308411</v>
      </c>
      <c r="BD140" s="6">
        <f>100/$BD$3</f>
        <v>0.23364485981308411</v>
      </c>
      <c r="BF140">
        <v>69</v>
      </c>
      <c r="BG140" s="6">
        <f>BF140/BF143</f>
        <v>0.28512396694214875</v>
      </c>
      <c r="BH140" s="6">
        <f>69/$BH$3</f>
        <v>0.28512396694214875</v>
      </c>
      <c r="BJ140">
        <v>101</v>
      </c>
      <c r="BK140" s="6">
        <f>BJ140/BJ143</f>
        <v>0.25062034739454092</v>
      </c>
      <c r="BL140" s="6">
        <f>101/$BL$3</f>
        <v>0.25062034739454092</v>
      </c>
      <c r="BN140">
        <v>104</v>
      </c>
      <c r="BO140" s="6">
        <f>BN140/BN143</f>
        <v>0.2458628841607565</v>
      </c>
      <c r="BP140" s="6">
        <f>104/$BP$3</f>
        <v>0.2458628841607565</v>
      </c>
      <c r="BR140">
        <v>61</v>
      </c>
      <c r="BS140" s="6">
        <f>BR140/BR143</f>
        <v>0.22262773722627738</v>
      </c>
      <c r="BT140" s="6">
        <f>61/$BT$3</f>
        <v>0.22262773722627738</v>
      </c>
      <c r="BV140">
        <v>79</v>
      </c>
      <c r="BW140" s="6">
        <f>BV140/BV143</f>
        <v>0.25901639344262295</v>
      </c>
      <c r="BX140" s="6">
        <f>79/$BX$3</f>
        <v>0.25901639344262295</v>
      </c>
      <c r="BZ140">
        <v>49</v>
      </c>
      <c r="CA140" s="6">
        <f>BZ140/BZ143</f>
        <v>0.21875</v>
      </c>
      <c r="CB140" s="6">
        <f>49/$CB$3</f>
        <v>0.21875</v>
      </c>
      <c r="CD140">
        <v>58</v>
      </c>
      <c r="CE140" s="6">
        <f>CD140/CD143</f>
        <v>0.24066390041493776</v>
      </c>
      <c r="CF140" s="6">
        <f>58/$CF$3</f>
        <v>0.24066390041493776</v>
      </c>
      <c r="CH140">
        <v>80</v>
      </c>
      <c r="CI140" s="6">
        <f>CH140/CH143</f>
        <v>0.24242424242424243</v>
      </c>
      <c r="CJ140" s="6">
        <f>80/$CJ$3</f>
        <v>0.24242424242424243</v>
      </c>
    </row>
    <row r="141" spans="1:88" x14ac:dyDescent="0.35">
      <c r="A141" s="1" t="s">
        <v>490</v>
      </c>
      <c r="B141">
        <v>206</v>
      </c>
      <c r="C141" s="6">
        <f>B141/B143</f>
        <v>0.18727272727272729</v>
      </c>
      <c r="D141" s="6">
        <f>206/$D$3</f>
        <v>0.18727272727272729</v>
      </c>
      <c r="F141">
        <v>166</v>
      </c>
      <c r="G141" s="6">
        <f>F141/F143</f>
        <v>0.18221734357848518</v>
      </c>
      <c r="H141" s="6">
        <f>166/$H$3</f>
        <v>0.18221734357848518</v>
      </c>
      <c r="J141">
        <v>85</v>
      </c>
      <c r="K141" s="6">
        <f>J141/J143</f>
        <v>0.19585253456221199</v>
      </c>
      <c r="L141" s="6">
        <f>85/$L$3</f>
        <v>0.19585253456221199</v>
      </c>
      <c r="N141">
        <v>23</v>
      </c>
      <c r="O141" s="6">
        <f>N141/N143</f>
        <v>0.2839506172839506</v>
      </c>
      <c r="P141" s="9">
        <f>23/$P$3</f>
        <v>0.2839506172839506</v>
      </c>
      <c r="R141">
        <v>108</v>
      </c>
      <c r="S141" s="6">
        <f>R141/R143</f>
        <v>0.19285714285714287</v>
      </c>
      <c r="T141" s="6">
        <f>108/$T$3</f>
        <v>0.19285714285714287</v>
      </c>
      <c r="V141">
        <v>98</v>
      </c>
      <c r="W141" s="6">
        <f>V141/V143</f>
        <v>0.18148148148148149</v>
      </c>
      <c r="X141" s="6">
        <f>98/$X$3</f>
        <v>0.18148148148148149</v>
      </c>
      <c r="Z141">
        <v>23</v>
      </c>
      <c r="AA141" s="6">
        <f>Z141/Z143</f>
        <v>0.20353982300884957</v>
      </c>
      <c r="AB141" s="6">
        <f>23/$AB$3</f>
        <v>0.20353982300884957</v>
      </c>
      <c r="AD141">
        <v>40</v>
      </c>
      <c r="AE141" s="6">
        <f>AD141/AD143</f>
        <v>0.20202020202020202</v>
      </c>
      <c r="AF141" s="6">
        <f>40/$AF$3</f>
        <v>0.20202020202020202</v>
      </c>
      <c r="AH141">
        <v>47</v>
      </c>
      <c r="AI141" s="6">
        <f>AH141/AH143</f>
        <v>0.19028340080971659</v>
      </c>
      <c r="AJ141" s="6">
        <f>47/$AJ$3</f>
        <v>0.19028340080971659</v>
      </c>
      <c r="AL141">
        <v>37</v>
      </c>
      <c r="AM141" s="6">
        <f>AL141/AL143</f>
        <v>0.15948275862068967</v>
      </c>
      <c r="AN141" s="6">
        <f>37/$AN$3</f>
        <v>0.15948275862068967</v>
      </c>
      <c r="AP141">
        <v>34</v>
      </c>
      <c r="AQ141" s="6">
        <f>AP141/AP143</f>
        <v>0.18279569892473119</v>
      </c>
      <c r="AR141" s="6">
        <f>34/$AR$3</f>
        <v>0.18279569892473119</v>
      </c>
      <c r="AT141">
        <v>25</v>
      </c>
      <c r="AU141" s="6">
        <f>AT141/AT143</f>
        <v>0.20161290322580644</v>
      </c>
      <c r="AV141" s="6">
        <f>25/$AV$3</f>
        <v>0.20161290322580644</v>
      </c>
      <c r="AX141">
        <v>72</v>
      </c>
      <c r="AY141" s="6">
        <f>AX141/AX143</f>
        <v>0.16744186046511628</v>
      </c>
      <c r="AZ141" s="6">
        <f>72/$AZ$3</f>
        <v>0.16744186046511628</v>
      </c>
      <c r="BB141">
        <v>90</v>
      </c>
      <c r="BC141" s="6">
        <f>BB141/BB143</f>
        <v>0.2102803738317757</v>
      </c>
      <c r="BD141" s="6">
        <f>90/$BD$3</f>
        <v>0.2102803738317757</v>
      </c>
      <c r="BF141">
        <v>44</v>
      </c>
      <c r="BG141" s="6">
        <f>BF141/BF143</f>
        <v>0.18181818181818182</v>
      </c>
      <c r="BH141" s="6">
        <f>44/$BH$3</f>
        <v>0.18181818181818182</v>
      </c>
      <c r="BJ141">
        <v>71</v>
      </c>
      <c r="BK141" s="6">
        <f>BJ141/BJ143</f>
        <v>0.17617866004962779</v>
      </c>
      <c r="BL141" s="6">
        <f>71/$BL$3</f>
        <v>0.17617866004962779</v>
      </c>
      <c r="BN141">
        <v>77</v>
      </c>
      <c r="BO141" s="6">
        <f>BN141/BN143</f>
        <v>0.18203309692671396</v>
      </c>
      <c r="BP141" s="6">
        <f>77/$BP$3</f>
        <v>0.18203309692671396</v>
      </c>
      <c r="BR141">
        <v>58</v>
      </c>
      <c r="BS141" s="6">
        <f>BR141/BR143</f>
        <v>0.21167883211678831</v>
      </c>
      <c r="BT141" s="6">
        <f>58/$BT$3</f>
        <v>0.21167883211678831</v>
      </c>
      <c r="BV141">
        <v>53</v>
      </c>
      <c r="BW141" s="6">
        <f>BV141/BV143</f>
        <v>0.17377049180327869</v>
      </c>
      <c r="BX141" s="6">
        <f>53/$BX$3</f>
        <v>0.17377049180327869</v>
      </c>
      <c r="BZ141">
        <v>53</v>
      </c>
      <c r="CA141" s="6">
        <f>BZ141/BZ143</f>
        <v>0.23660714285714285</v>
      </c>
      <c r="CB141" s="6">
        <f>53/$CB$3</f>
        <v>0.23660714285714285</v>
      </c>
      <c r="CD141">
        <v>38</v>
      </c>
      <c r="CE141" s="6">
        <f>CD141/CD143</f>
        <v>0.15767634854771784</v>
      </c>
      <c r="CF141" s="6">
        <f>38/$CF$3</f>
        <v>0.15767634854771784</v>
      </c>
      <c r="CH141">
        <v>62</v>
      </c>
      <c r="CI141" s="6">
        <f>CH141/CH143</f>
        <v>0.18787878787878787</v>
      </c>
      <c r="CJ141" s="6">
        <f>62/$CJ$3</f>
        <v>0.18787878787878787</v>
      </c>
    </row>
    <row r="142" spans="1:88" x14ac:dyDescent="0.35">
      <c r="A142" s="1" t="s">
        <v>409</v>
      </c>
      <c r="B142">
        <v>567</v>
      </c>
      <c r="C142" s="6">
        <f>B142/B143</f>
        <v>0.5154545454545455</v>
      </c>
      <c r="D142" s="6">
        <f>567/$D$3</f>
        <v>0.5154545454545455</v>
      </c>
      <c r="F142">
        <v>459</v>
      </c>
      <c r="G142" s="6">
        <f>F142/F143</f>
        <v>0.50384193194291982</v>
      </c>
      <c r="H142" s="6">
        <f>459/$H$3</f>
        <v>0.50384193194291982</v>
      </c>
      <c r="J142">
        <v>246</v>
      </c>
      <c r="K142" s="6">
        <f>J142/J143</f>
        <v>0.56682027649769584</v>
      </c>
      <c r="L142" s="9">
        <f>246/$L$3</f>
        <v>0.56682027649769584</v>
      </c>
      <c r="N142">
        <v>28</v>
      </c>
      <c r="O142" s="6">
        <f>N142/N143</f>
        <v>0.34567901234567899</v>
      </c>
      <c r="P142" s="8">
        <f>28/$P$3</f>
        <v>0.34567901234567899</v>
      </c>
      <c r="R142">
        <v>295</v>
      </c>
      <c r="S142" s="6">
        <f>R142/R143</f>
        <v>0.5267857142857143</v>
      </c>
      <c r="T142" s="6">
        <f>295/$T$3</f>
        <v>0.5267857142857143</v>
      </c>
      <c r="V142">
        <v>272</v>
      </c>
      <c r="W142" s="6">
        <f>V142/V143</f>
        <v>0.50370370370370365</v>
      </c>
      <c r="X142" s="6">
        <f>272/$X$3</f>
        <v>0.50370370370370365</v>
      </c>
      <c r="Z142">
        <v>53</v>
      </c>
      <c r="AA142" s="6">
        <f>Z142/Z143</f>
        <v>0.46902654867256638</v>
      </c>
      <c r="AB142" s="6">
        <f>53/$AB$3</f>
        <v>0.46902654867256638</v>
      </c>
      <c r="AD142">
        <v>104</v>
      </c>
      <c r="AE142" s="6">
        <f>AD142/AD143</f>
        <v>0.5252525252525253</v>
      </c>
      <c r="AF142" s="6">
        <f>104/$AF$3</f>
        <v>0.5252525252525253</v>
      </c>
      <c r="AH142">
        <v>115</v>
      </c>
      <c r="AI142" s="6">
        <f>AH142/AH143</f>
        <v>0.46558704453441296</v>
      </c>
      <c r="AJ142" s="6">
        <f>115/$AJ$3</f>
        <v>0.46558704453441296</v>
      </c>
      <c r="AL142">
        <v>124</v>
      </c>
      <c r="AM142" s="6">
        <f>AL142/AL143</f>
        <v>0.53448275862068961</v>
      </c>
      <c r="AN142" s="6">
        <f>124/$AN$3</f>
        <v>0.53448275862068961</v>
      </c>
      <c r="AP142">
        <v>108</v>
      </c>
      <c r="AQ142" s="6">
        <f>AP142/AP143</f>
        <v>0.58064516129032262</v>
      </c>
      <c r="AR142" s="6">
        <f>108/$AR$3</f>
        <v>0.58064516129032262</v>
      </c>
      <c r="AT142">
        <v>63</v>
      </c>
      <c r="AU142" s="6">
        <f>AT142/AT143</f>
        <v>0.50806451612903225</v>
      </c>
      <c r="AV142" s="6">
        <f>63/$AV$3</f>
        <v>0.50806451612903225</v>
      </c>
      <c r="AX142">
        <v>229</v>
      </c>
      <c r="AY142" s="6">
        <f>AX142/AX143</f>
        <v>0.53255813953488373</v>
      </c>
      <c r="AZ142" s="6">
        <f>229/$AZ$3</f>
        <v>0.53255813953488373</v>
      </c>
      <c r="BB142">
        <v>218</v>
      </c>
      <c r="BC142" s="6">
        <f>BB142/BB143</f>
        <v>0.50934579439252337</v>
      </c>
      <c r="BD142" s="6">
        <f>218/$BD$3</f>
        <v>0.50934579439252337</v>
      </c>
      <c r="BF142">
        <v>120</v>
      </c>
      <c r="BG142" s="6">
        <f>BF142/BF143</f>
        <v>0.49586776859504134</v>
      </c>
      <c r="BH142" s="6">
        <f>120/$BH$3</f>
        <v>0.49586776859504134</v>
      </c>
      <c r="BJ142">
        <v>210</v>
      </c>
      <c r="BK142" s="6">
        <f>BJ142/BJ143</f>
        <v>0.52109181141439209</v>
      </c>
      <c r="BL142" s="6">
        <f>210/$BL$3</f>
        <v>0.52109181141439209</v>
      </c>
      <c r="BN142">
        <v>211</v>
      </c>
      <c r="BO142" s="6">
        <f>BN142/BN143</f>
        <v>0.49881796690307328</v>
      </c>
      <c r="BP142" s="6">
        <f>211/$BP$3</f>
        <v>0.49881796690307328</v>
      </c>
      <c r="BR142">
        <v>146</v>
      </c>
      <c r="BS142" s="6">
        <f>BR142/BR143</f>
        <v>0.53284671532846717</v>
      </c>
      <c r="BT142" s="6">
        <f>146/$BT$3</f>
        <v>0.53284671532846717</v>
      </c>
      <c r="BV142">
        <v>152</v>
      </c>
      <c r="BW142" s="6">
        <f>BV142/BV143</f>
        <v>0.49836065573770494</v>
      </c>
      <c r="BX142" s="6">
        <f>152/$BX$3</f>
        <v>0.49836065573770494</v>
      </c>
      <c r="BZ142">
        <v>111</v>
      </c>
      <c r="CA142" s="6">
        <f>BZ142/BZ143</f>
        <v>0.4955357142857143</v>
      </c>
      <c r="CB142" s="6">
        <f>111/$CB$3</f>
        <v>0.4955357142857143</v>
      </c>
      <c r="CD142">
        <v>130</v>
      </c>
      <c r="CE142" s="6">
        <f>CD142/CD143</f>
        <v>0.53941908713692943</v>
      </c>
      <c r="CF142" s="6">
        <f>130/$CF$3</f>
        <v>0.53941908713692943</v>
      </c>
      <c r="CH142">
        <v>174</v>
      </c>
      <c r="CI142" s="6">
        <f>CH142/CH143</f>
        <v>0.52727272727272723</v>
      </c>
      <c r="CJ142" s="6">
        <f>174/$CJ$3</f>
        <v>0.52727272727272723</v>
      </c>
    </row>
    <row r="143" spans="1:88" s="10" customFormat="1" x14ac:dyDescent="0.35">
      <c r="A143" s="11" t="s">
        <v>411</v>
      </c>
      <c r="B143" s="10">
        <v>1100</v>
      </c>
      <c r="F143" s="10">
        <v>911</v>
      </c>
      <c r="J143" s="10">
        <v>434</v>
      </c>
      <c r="N143" s="10">
        <v>81</v>
      </c>
      <c r="R143" s="10">
        <v>560</v>
      </c>
      <c r="V143" s="10">
        <v>540</v>
      </c>
      <c r="Z143" s="10">
        <v>113</v>
      </c>
      <c r="AD143" s="10">
        <v>198</v>
      </c>
      <c r="AH143" s="10">
        <v>247</v>
      </c>
      <c r="AL143" s="10">
        <v>232</v>
      </c>
      <c r="AP143" s="10">
        <v>186</v>
      </c>
      <c r="AT143" s="10">
        <v>124</v>
      </c>
      <c r="AX143" s="10">
        <v>430</v>
      </c>
      <c r="BB143" s="10">
        <v>428</v>
      </c>
      <c r="BF143" s="10">
        <v>242</v>
      </c>
      <c r="BJ143" s="10">
        <v>403</v>
      </c>
      <c r="BN143" s="10">
        <v>423</v>
      </c>
      <c r="BR143" s="10">
        <v>274</v>
      </c>
      <c r="BV143" s="10">
        <v>305</v>
      </c>
      <c r="BZ143" s="10">
        <v>224</v>
      </c>
      <c r="CD143" s="10">
        <v>241</v>
      </c>
      <c r="CH143" s="10">
        <v>330</v>
      </c>
    </row>
    <row r="144" spans="1:88" hidden="1" x14ac:dyDescent="0.35">
      <c r="A144" s="12" t="s">
        <v>412</v>
      </c>
      <c r="B144">
        <v>0</v>
      </c>
      <c r="F144">
        <v>0</v>
      </c>
      <c r="J144">
        <v>0</v>
      </c>
      <c r="N144">
        <v>0</v>
      </c>
      <c r="R144">
        <v>0</v>
      </c>
      <c r="V144">
        <v>0</v>
      </c>
      <c r="Z144">
        <v>0</v>
      </c>
      <c r="AD144">
        <v>0</v>
      </c>
      <c r="AH144">
        <v>0</v>
      </c>
      <c r="AL144">
        <v>0</v>
      </c>
      <c r="AP144">
        <v>0</v>
      </c>
      <c r="AT144">
        <v>0</v>
      </c>
      <c r="AX144">
        <v>0</v>
      </c>
      <c r="BB144">
        <v>0</v>
      </c>
      <c r="BF144">
        <v>0</v>
      </c>
      <c r="BJ144">
        <v>0</v>
      </c>
      <c r="BN144">
        <v>0</v>
      </c>
      <c r="BR144">
        <v>0</v>
      </c>
      <c r="BV144">
        <v>0</v>
      </c>
      <c r="BZ144">
        <v>0</v>
      </c>
      <c r="CD144">
        <v>0</v>
      </c>
      <c r="CH144">
        <v>0</v>
      </c>
    </row>
    <row r="145" spans="1:88" hidden="1" x14ac:dyDescent="0.35">
      <c r="A145" s="12" t="s">
        <v>413</v>
      </c>
      <c r="B145">
        <v>0</v>
      </c>
      <c r="F145">
        <v>0</v>
      </c>
      <c r="J145">
        <v>0</v>
      </c>
      <c r="N145">
        <v>0</v>
      </c>
      <c r="R145">
        <v>0</v>
      </c>
      <c r="V145">
        <v>0</v>
      </c>
      <c r="Z145">
        <v>0</v>
      </c>
      <c r="AD145">
        <v>0</v>
      </c>
      <c r="AH145">
        <v>0</v>
      </c>
      <c r="AL145">
        <v>0</v>
      </c>
      <c r="AP145">
        <v>0</v>
      </c>
      <c r="AT145">
        <v>0</v>
      </c>
      <c r="AX145">
        <v>0</v>
      </c>
      <c r="BB145">
        <v>0</v>
      </c>
      <c r="BF145">
        <v>0</v>
      </c>
      <c r="BJ145">
        <v>0</v>
      </c>
      <c r="BN145">
        <v>0</v>
      </c>
      <c r="BR145">
        <v>0</v>
      </c>
      <c r="BV145">
        <v>0</v>
      </c>
      <c r="BZ145">
        <v>0</v>
      </c>
      <c r="CD145">
        <v>0</v>
      </c>
      <c r="CH145">
        <v>0</v>
      </c>
    </row>
    <row r="147" spans="1:88" x14ac:dyDescent="0.35">
      <c r="AB147" s="2" t="s">
        <v>3</v>
      </c>
      <c r="AF147" s="2" t="s">
        <v>4</v>
      </c>
      <c r="AJ147" s="2" t="s">
        <v>5</v>
      </c>
      <c r="AN147" s="2" t="s">
        <v>6</v>
      </c>
      <c r="AR147" s="2" t="s">
        <v>7</v>
      </c>
      <c r="AV147" s="2" t="s">
        <v>8</v>
      </c>
      <c r="AZ147" s="2" t="s">
        <v>3</v>
      </c>
      <c r="BD147" s="2" t="s">
        <v>4</v>
      </c>
      <c r="BH147" s="2" t="s">
        <v>5</v>
      </c>
      <c r="BL147" s="2" t="s">
        <v>3</v>
      </c>
      <c r="BP147" s="2" t="s">
        <v>4</v>
      </c>
      <c r="BT147" s="2" t="s">
        <v>5</v>
      </c>
      <c r="BX147" s="2" t="s">
        <v>3</v>
      </c>
      <c r="CB147" s="2" t="s">
        <v>4</v>
      </c>
      <c r="CF147" s="2" t="s">
        <v>5</v>
      </c>
      <c r="CJ147" s="2" t="s">
        <v>6</v>
      </c>
    </row>
    <row r="148" spans="1:88" s="3" customFormat="1" x14ac:dyDescent="0.35">
      <c r="A148" s="3" t="s">
        <v>491</v>
      </c>
      <c r="D148" s="5" t="s">
        <v>406</v>
      </c>
      <c r="H148" s="5" t="s">
        <v>406</v>
      </c>
      <c r="L148" s="5" t="s">
        <v>406</v>
      </c>
      <c r="P148" s="5" t="s">
        <v>406</v>
      </c>
      <c r="T148" s="5" t="s">
        <v>406</v>
      </c>
      <c r="X148" s="5" t="s">
        <v>406</v>
      </c>
      <c r="AB148" s="5" t="s">
        <v>406</v>
      </c>
      <c r="AF148" s="5" t="s">
        <v>406</v>
      </c>
      <c r="AJ148" s="5" t="s">
        <v>406</v>
      </c>
      <c r="AN148" s="5" t="s">
        <v>406</v>
      </c>
      <c r="AR148" s="5" t="s">
        <v>406</v>
      </c>
      <c r="AV148" s="5" t="s">
        <v>406</v>
      </c>
      <c r="AZ148" s="5" t="s">
        <v>406</v>
      </c>
      <c r="BD148" s="5" t="s">
        <v>406</v>
      </c>
      <c r="BH148" s="5" t="s">
        <v>406</v>
      </c>
      <c r="BL148" s="5" t="s">
        <v>406</v>
      </c>
      <c r="BP148" s="5" t="s">
        <v>406</v>
      </c>
      <c r="BT148" s="5" t="s">
        <v>406</v>
      </c>
      <c r="BX148" s="5" t="s">
        <v>406</v>
      </c>
      <c r="CB148" s="5" t="s">
        <v>406</v>
      </c>
      <c r="CF148" s="5" t="s">
        <v>406</v>
      </c>
      <c r="CJ148" s="5" t="s">
        <v>406</v>
      </c>
    </row>
    <row r="149" spans="1:88" x14ac:dyDescent="0.35">
      <c r="A149" s="1" t="s">
        <v>492</v>
      </c>
      <c r="B149">
        <v>334</v>
      </c>
      <c r="C149" s="6">
        <f>B149/B155</f>
        <v>0.30363636363636365</v>
      </c>
      <c r="D149" s="6">
        <f>334/$D$3</f>
        <v>0.30363636363636365</v>
      </c>
      <c r="F149">
        <v>275</v>
      </c>
      <c r="G149" s="6">
        <f>F149/F155</f>
        <v>0.30186608122941821</v>
      </c>
      <c r="H149" s="6">
        <f>275/$H$3</f>
        <v>0.30186608122941821</v>
      </c>
      <c r="J149">
        <v>122</v>
      </c>
      <c r="K149" s="6">
        <f>J149/J155</f>
        <v>0.28110599078341014</v>
      </c>
      <c r="L149" s="6">
        <f>122/$L$3</f>
        <v>0.28110599078341014</v>
      </c>
      <c r="N149">
        <v>32</v>
      </c>
      <c r="O149" s="6">
        <f>N149/N155</f>
        <v>0.39506172839506171</v>
      </c>
      <c r="P149" s="6">
        <f>32/$P$3</f>
        <v>0.39506172839506171</v>
      </c>
      <c r="R149">
        <v>189</v>
      </c>
      <c r="S149" s="6">
        <f>R149/R155</f>
        <v>0.33750000000000002</v>
      </c>
      <c r="T149" s="6">
        <f>189/$T$3</f>
        <v>0.33750000000000002</v>
      </c>
      <c r="V149">
        <v>145</v>
      </c>
      <c r="W149" s="6">
        <f>V149/V155</f>
        <v>0.26851851851851855</v>
      </c>
      <c r="X149" s="6">
        <f>145/$X$3</f>
        <v>0.26851851851851855</v>
      </c>
      <c r="Z149">
        <v>35</v>
      </c>
      <c r="AA149" s="6">
        <f>Z149/Z155</f>
        <v>0.30973451327433627</v>
      </c>
      <c r="AB149" s="6">
        <f>35/$AB$3</f>
        <v>0.30973451327433627</v>
      </c>
      <c r="AD149">
        <v>67</v>
      </c>
      <c r="AE149" s="6">
        <f>AD149/AD155</f>
        <v>0.3383838383838384</v>
      </c>
      <c r="AF149" s="6">
        <f>67/$AF$3</f>
        <v>0.3383838383838384</v>
      </c>
      <c r="AH149">
        <v>70</v>
      </c>
      <c r="AI149" s="6">
        <f>AH149/AH155</f>
        <v>0.2834008097165992</v>
      </c>
      <c r="AJ149" s="6">
        <f>70/$AJ$3</f>
        <v>0.2834008097165992</v>
      </c>
      <c r="AL149">
        <v>69</v>
      </c>
      <c r="AM149" s="6">
        <f>AL149/AL155</f>
        <v>0.29741379310344829</v>
      </c>
      <c r="AN149" s="6">
        <f>69/$AN$3</f>
        <v>0.29741379310344829</v>
      </c>
      <c r="AP149">
        <v>56</v>
      </c>
      <c r="AQ149" s="6">
        <f>AP149/AP155</f>
        <v>0.30107526881720431</v>
      </c>
      <c r="AR149" s="6">
        <f>56/$AR$3</f>
        <v>0.30107526881720431</v>
      </c>
      <c r="AT149">
        <v>37</v>
      </c>
      <c r="AU149" s="6">
        <f>AT149/AT155</f>
        <v>0.29838709677419356</v>
      </c>
      <c r="AV149" s="6">
        <f>37/$AV$3</f>
        <v>0.29838709677419356</v>
      </c>
      <c r="AX149">
        <v>120</v>
      </c>
      <c r="AY149" s="6">
        <f>AX149/AX155</f>
        <v>0.27906976744186046</v>
      </c>
      <c r="AZ149" s="6">
        <f>120/$AZ$3</f>
        <v>0.27906976744186046</v>
      </c>
      <c r="BB149">
        <v>138</v>
      </c>
      <c r="BC149" s="6">
        <f>BB149/BB155</f>
        <v>0.32242990654205606</v>
      </c>
      <c r="BD149" s="6">
        <f>138/$BD$3</f>
        <v>0.32242990654205606</v>
      </c>
      <c r="BF149">
        <v>76</v>
      </c>
      <c r="BG149" s="6">
        <f>BF149/BF155</f>
        <v>0.31404958677685951</v>
      </c>
      <c r="BH149" s="6">
        <f>76/$BH$3</f>
        <v>0.31404958677685951</v>
      </c>
      <c r="BJ149">
        <v>120</v>
      </c>
      <c r="BK149" s="6">
        <f>BJ149/BJ155</f>
        <v>0.29776674937965258</v>
      </c>
      <c r="BL149" s="6">
        <f>120/$BL$3</f>
        <v>0.29776674937965258</v>
      </c>
      <c r="BN149">
        <v>135</v>
      </c>
      <c r="BO149" s="6">
        <f>BN149/BN155</f>
        <v>0.31914893617021278</v>
      </c>
      <c r="BP149" s="6">
        <f>135/$BP$3</f>
        <v>0.31914893617021278</v>
      </c>
      <c r="BR149">
        <v>79</v>
      </c>
      <c r="BS149" s="6">
        <f>BR149/BR155</f>
        <v>0.28832116788321166</v>
      </c>
      <c r="BT149" s="6">
        <f>79/$BT$3</f>
        <v>0.28832116788321166</v>
      </c>
      <c r="BV149">
        <v>98</v>
      </c>
      <c r="BW149" s="6">
        <f>BV149/BV155</f>
        <v>0.32131147540983607</v>
      </c>
      <c r="BX149" s="6">
        <f>98/$BX$3</f>
        <v>0.32131147540983607</v>
      </c>
      <c r="BZ149">
        <v>69</v>
      </c>
      <c r="CA149" s="6">
        <f>BZ149/BZ155</f>
        <v>0.3080357142857143</v>
      </c>
      <c r="CB149" s="6">
        <f>69/$CB$3</f>
        <v>0.3080357142857143</v>
      </c>
      <c r="CD149">
        <v>73</v>
      </c>
      <c r="CE149" s="6">
        <f>CD149/CD155</f>
        <v>0.30290456431535268</v>
      </c>
      <c r="CF149" s="6">
        <f>73/$CF$3</f>
        <v>0.30290456431535268</v>
      </c>
      <c r="CH149">
        <v>94</v>
      </c>
      <c r="CI149" s="6">
        <f>CH149/CH155</f>
        <v>0.28484848484848485</v>
      </c>
      <c r="CJ149" s="6">
        <f>94/$CJ$3</f>
        <v>0.28484848484848485</v>
      </c>
    </row>
    <row r="150" spans="1:88" x14ac:dyDescent="0.35">
      <c r="A150" s="1" t="s">
        <v>493</v>
      </c>
      <c r="B150">
        <v>336</v>
      </c>
      <c r="C150" s="6">
        <f>B150/B155</f>
        <v>0.30545454545454548</v>
      </c>
      <c r="D150" s="6">
        <f>336/$D$3</f>
        <v>0.30545454545454548</v>
      </c>
      <c r="F150">
        <v>265</v>
      </c>
      <c r="G150" s="6">
        <f>F150/F155</f>
        <v>0.29088913282107576</v>
      </c>
      <c r="H150" s="6">
        <f>265/$H$3</f>
        <v>0.29088913282107576</v>
      </c>
      <c r="J150">
        <v>56</v>
      </c>
      <c r="K150" s="6">
        <f>J150/J155</f>
        <v>0.12903225806451613</v>
      </c>
      <c r="L150" s="8">
        <f>56/$L$3</f>
        <v>0.12903225806451613</v>
      </c>
      <c r="N150">
        <v>21</v>
      </c>
      <c r="O150" s="6">
        <f>N150/N155</f>
        <v>0.25925925925925924</v>
      </c>
      <c r="P150" s="6">
        <f>21/$P$3</f>
        <v>0.25925925925925924</v>
      </c>
      <c r="R150">
        <v>175</v>
      </c>
      <c r="S150" s="6">
        <f>R150/R155</f>
        <v>0.3125</v>
      </c>
      <c r="T150" s="6">
        <f>175/$T$3</f>
        <v>0.3125</v>
      </c>
      <c r="V150">
        <v>161</v>
      </c>
      <c r="W150" s="6">
        <f>V150/V155</f>
        <v>0.29814814814814816</v>
      </c>
      <c r="X150" s="6">
        <f>161/$X$3</f>
        <v>0.29814814814814816</v>
      </c>
      <c r="Z150">
        <v>28</v>
      </c>
      <c r="AA150" s="6">
        <f>Z150/Z155</f>
        <v>0.24778761061946902</v>
      </c>
      <c r="AB150" s="6">
        <f>28/$AB$3</f>
        <v>0.24778761061946902</v>
      </c>
      <c r="AD150">
        <v>54</v>
      </c>
      <c r="AE150" s="6">
        <f>AD150/AD155</f>
        <v>0.27272727272727271</v>
      </c>
      <c r="AF150" s="6">
        <f>54/$AF$3</f>
        <v>0.27272727272727271</v>
      </c>
      <c r="AH150">
        <v>95</v>
      </c>
      <c r="AI150" s="6">
        <f>AH150/AH155</f>
        <v>0.38461538461538464</v>
      </c>
      <c r="AJ150" s="9">
        <f>95/$AJ$3</f>
        <v>0.38461538461538464</v>
      </c>
      <c r="AK150" s="7"/>
      <c r="AL150">
        <v>78</v>
      </c>
      <c r="AM150" s="6">
        <f>AL150/AL155</f>
        <v>0.33620689655172414</v>
      </c>
      <c r="AN150" s="6">
        <f>78/$AN$3</f>
        <v>0.33620689655172414</v>
      </c>
      <c r="AP150">
        <v>55</v>
      </c>
      <c r="AQ150" s="6">
        <f>AP150/AP155</f>
        <v>0.29569892473118281</v>
      </c>
      <c r="AR150" s="6">
        <f>55/$AR$3</f>
        <v>0.29569892473118281</v>
      </c>
      <c r="AT150">
        <v>26</v>
      </c>
      <c r="AU150" s="6">
        <f>AT150/AT155</f>
        <v>0.20967741935483872</v>
      </c>
      <c r="AV150" s="8">
        <f>26/$AV$3</f>
        <v>0.20967741935483872</v>
      </c>
      <c r="AX150">
        <v>129</v>
      </c>
      <c r="AY150" s="6">
        <f>AX150/AX155</f>
        <v>0.3</v>
      </c>
      <c r="AZ150" s="6">
        <f>129/$AZ$3</f>
        <v>0.3</v>
      </c>
      <c r="BB150">
        <v>122</v>
      </c>
      <c r="BC150" s="6">
        <f>BB150/BB155</f>
        <v>0.28504672897196259</v>
      </c>
      <c r="BD150" s="6">
        <f>122/$BD$3</f>
        <v>0.28504672897196259</v>
      </c>
      <c r="BF150">
        <v>85</v>
      </c>
      <c r="BG150" s="6">
        <f>BF150/BF155</f>
        <v>0.3512396694214876</v>
      </c>
      <c r="BH150" s="6">
        <f>85/$BH$3</f>
        <v>0.3512396694214876</v>
      </c>
      <c r="BJ150">
        <v>122</v>
      </c>
      <c r="BK150" s="6">
        <f>BJ150/BJ155</f>
        <v>0.30272952853598017</v>
      </c>
      <c r="BL150" s="6">
        <f>122/$BL$3</f>
        <v>0.30272952853598017</v>
      </c>
      <c r="BN150">
        <v>131</v>
      </c>
      <c r="BO150" s="6">
        <f>BN150/BN155</f>
        <v>0.30969267139479906</v>
      </c>
      <c r="BP150" s="6">
        <f>131/$BP$3</f>
        <v>0.30969267139479906</v>
      </c>
      <c r="BR150">
        <v>83</v>
      </c>
      <c r="BS150" s="6">
        <f>BR150/BR155</f>
        <v>0.3029197080291971</v>
      </c>
      <c r="BT150" s="6">
        <f>83/$BT$3</f>
        <v>0.3029197080291971</v>
      </c>
      <c r="BV150">
        <v>81</v>
      </c>
      <c r="BW150" s="6">
        <f>BV150/BV155</f>
        <v>0.26557377049180325</v>
      </c>
      <c r="BX150" s="6">
        <f>81/$BX$3</f>
        <v>0.26557377049180325</v>
      </c>
      <c r="BZ150">
        <v>66</v>
      </c>
      <c r="CA150" s="6">
        <f>BZ150/BZ155</f>
        <v>0.29464285714285715</v>
      </c>
      <c r="CB150" s="6">
        <f>66/$CB$3</f>
        <v>0.29464285714285715</v>
      </c>
      <c r="CD150">
        <v>72</v>
      </c>
      <c r="CE150" s="6">
        <f>CD150/CD155</f>
        <v>0.29875518672199169</v>
      </c>
      <c r="CF150" s="6">
        <f>72/$CF$3</f>
        <v>0.29875518672199169</v>
      </c>
      <c r="CH150">
        <v>117</v>
      </c>
      <c r="CI150" s="6">
        <f>CH150/CH155</f>
        <v>0.35454545454545455</v>
      </c>
      <c r="CJ150" s="6">
        <f>117/$CJ$3</f>
        <v>0.35454545454545455</v>
      </c>
    </row>
    <row r="151" spans="1:88" x14ac:dyDescent="0.35">
      <c r="A151" s="1" t="s">
        <v>494</v>
      </c>
      <c r="B151">
        <v>148</v>
      </c>
      <c r="C151" s="6">
        <f>B151/B155</f>
        <v>0.13454545454545455</v>
      </c>
      <c r="D151" s="6">
        <f>148/$D$3</f>
        <v>0.13454545454545455</v>
      </c>
      <c r="F151">
        <v>121</v>
      </c>
      <c r="G151" s="6">
        <f>F151/F155</f>
        <v>0.13282107574094401</v>
      </c>
      <c r="H151" s="6">
        <f>121/$H$3</f>
        <v>0.13282107574094401</v>
      </c>
      <c r="J151">
        <v>56</v>
      </c>
      <c r="K151" s="6">
        <f>J151/J155</f>
        <v>0.12903225806451613</v>
      </c>
      <c r="L151" s="6">
        <f>56/$L$3</f>
        <v>0.12903225806451613</v>
      </c>
      <c r="N151">
        <v>15</v>
      </c>
      <c r="O151" s="6">
        <f>N151/N155</f>
        <v>0.18518518518518517</v>
      </c>
      <c r="P151" s="6">
        <f>15/$P$3</f>
        <v>0.18518518518518517</v>
      </c>
      <c r="R151">
        <v>68</v>
      </c>
      <c r="S151" s="6">
        <f>R151/R155</f>
        <v>0.12142857142857143</v>
      </c>
      <c r="T151" s="6">
        <f>68/$T$3</f>
        <v>0.12142857142857143</v>
      </c>
      <c r="V151">
        <v>80</v>
      </c>
      <c r="W151" s="6">
        <f>V151/V155</f>
        <v>0.14814814814814814</v>
      </c>
      <c r="X151" s="6">
        <f>80/$X$3</f>
        <v>0.14814814814814814</v>
      </c>
      <c r="Z151">
        <v>18</v>
      </c>
      <c r="AA151" s="6">
        <f>Z151/Z155</f>
        <v>0.15929203539823009</v>
      </c>
      <c r="AB151" s="6">
        <f>18/$AB$3</f>
        <v>0.15929203539823009</v>
      </c>
      <c r="AD151">
        <v>30</v>
      </c>
      <c r="AE151" s="6">
        <f>AD151/AD155</f>
        <v>0.15151515151515152</v>
      </c>
      <c r="AF151" s="6">
        <f>30/$AF$3</f>
        <v>0.15151515151515152</v>
      </c>
      <c r="AH151">
        <v>38</v>
      </c>
      <c r="AI151" s="6">
        <f>AH151/AH155</f>
        <v>0.15384615384615385</v>
      </c>
      <c r="AJ151" s="6">
        <f>38/$AJ$3</f>
        <v>0.15384615384615385</v>
      </c>
      <c r="AL151">
        <v>30</v>
      </c>
      <c r="AM151" s="6">
        <f>AL151/AL155</f>
        <v>0.12931034482758622</v>
      </c>
      <c r="AN151" s="6">
        <f>30/$AN$3</f>
        <v>0.12931034482758622</v>
      </c>
      <c r="AP151">
        <v>17</v>
      </c>
      <c r="AQ151" s="6">
        <f>AP151/AP155</f>
        <v>9.1397849462365593E-2</v>
      </c>
      <c r="AR151" s="6">
        <f>17/$AR$3</f>
        <v>9.1397849462365593E-2</v>
      </c>
      <c r="AT151">
        <v>15</v>
      </c>
      <c r="AU151" s="6">
        <f>AT151/AT155</f>
        <v>0.12096774193548387</v>
      </c>
      <c r="AV151" s="6">
        <f>15/$AV$3</f>
        <v>0.12096774193548387</v>
      </c>
      <c r="AX151">
        <v>51</v>
      </c>
      <c r="AY151" s="6">
        <f>AX151/AX155</f>
        <v>0.1186046511627907</v>
      </c>
      <c r="AZ151" s="6">
        <f>51/$AZ$3</f>
        <v>0.1186046511627907</v>
      </c>
      <c r="BB151">
        <v>63</v>
      </c>
      <c r="BC151" s="6">
        <f>BB151/BB155</f>
        <v>0.14719626168224298</v>
      </c>
      <c r="BD151" s="6">
        <f>63/$BD$3</f>
        <v>0.14719626168224298</v>
      </c>
      <c r="BF151">
        <v>34</v>
      </c>
      <c r="BG151" s="6">
        <f>BF151/BF155</f>
        <v>0.14049586776859505</v>
      </c>
      <c r="BH151" s="6">
        <f>34/$BH$3</f>
        <v>0.14049586776859505</v>
      </c>
      <c r="BJ151">
        <v>60</v>
      </c>
      <c r="BK151" s="6">
        <f>BJ151/BJ155</f>
        <v>0.14888337468982629</v>
      </c>
      <c r="BL151" s="6">
        <f>60/$BL$3</f>
        <v>0.14888337468982629</v>
      </c>
      <c r="BN151">
        <v>62</v>
      </c>
      <c r="BO151" s="6">
        <f>BN151/BN155</f>
        <v>0.14657210401891252</v>
      </c>
      <c r="BP151" s="6">
        <f>62/$BP$3</f>
        <v>0.14657210401891252</v>
      </c>
      <c r="BR151">
        <v>26</v>
      </c>
      <c r="BS151" s="6">
        <f>BR151/BR155</f>
        <v>9.4890510948905105E-2</v>
      </c>
      <c r="BT151" s="6">
        <f>26/$BT$3</f>
        <v>9.4890510948905105E-2</v>
      </c>
      <c r="BV151">
        <v>45</v>
      </c>
      <c r="BW151" s="6">
        <f>BV151/BV155</f>
        <v>0.14754098360655737</v>
      </c>
      <c r="BX151" s="6">
        <f>45/$BX$3</f>
        <v>0.14754098360655737</v>
      </c>
      <c r="BZ151">
        <v>36</v>
      </c>
      <c r="CA151" s="6">
        <f>BZ151/BZ155</f>
        <v>0.16071428571428573</v>
      </c>
      <c r="CB151" s="6">
        <f>36/$CB$3</f>
        <v>0.16071428571428573</v>
      </c>
      <c r="CD151">
        <v>36</v>
      </c>
      <c r="CE151" s="6">
        <f>CD151/CD155</f>
        <v>0.14937759336099585</v>
      </c>
      <c r="CF151" s="6">
        <f>36/$CF$3</f>
        <v>0.14937759336099585</v>
      </c>
      <c r="CH151">
        <v>31</v>
      </c>
      <c r="CI151" s="6">
        <f>CH151/CH155</f>
        <v>9.3939393939393934E-2</v>
      </c>
      <c r="CJ151" s="6">
        <f>31/$CJ$3</f>
        <v>9.3939393939393934E-2</v>
      </c>
    </row>
    <row r="152" spans="1:88" x14ac:dyDescent="0.35">
      <c r="A152" s="1" t="s">
        <v>495</v>
      </c>
      <c r="B152">
        <v>99</v>
      </c>
      <c r="C152" s="6">
        <f>B152/B155</f>
        <v>0.09</v>
      </c>
      <c r="D152" s="6">
        <f>99/$D$3</f>
        <v>0.09</v>
      </c>
      <c r="F152">
        <v>85</v>
      </c>
      <c r="G152" s="6">
        <f>F152/F155</f>
        <v>9.3304061470911082E-2</v>
      </c>
      <c r="H152" s="6">
        <f>85/$H$3</f>
        <v>9.3304061470911082E-2</v>
      </c>
      <c r="J152">
        <v>21</v>
      </c>
      <c r="K152" s="6">
        <f>J152/J155</f>
        <v>4.8387096774193547E-2</v>
      </c>
      <c r="L152" s="6">
        <f>21/$L$3</f>
        <v>4.8387096774193547E-2</v>
      </c>
      <c r="N152">
        <v>14</v>
      </c>
      <c r="O152" s="6">
        <f>N152/N155</f>
        <v>0.1728395061728395</v>
      </c>
      <c r="P152" s="9">
        <f>14/$P$3</f>
        <v>0.1728395061728395</v>
      </c>
      <c r="R152">
        <v>41</v>
      </c>
      <c r="S152" s="6">
        <f>R152/R155</f>
        <v>7.3214285714285718E-2</v>
      </c>
      <c r="T152" s="6">
        <f>41/$T$3</f>
        <v>7.3214285714285718E-2</v>
      </c>
      <c r="V152">
        <v>58</v>
      </c>
      <c r="W152" s="6">
        <f>V152/V155</f>
        <v>0.10740740740740741</v>
      </c>
      <c r="X152" s="6">
        <f>58/$X$3</f>
        <v>0.10740740740740741</v>
      </c>
      <c r="Z152">
        <v>14</v>
      </c>
      <c r="AA152" s="6">
        <f>Z152/Z155</f>
        <v>0.12389380530973451</v>
      </c>
      <c r="AB152" s="6">
        <f>14/$AB$3</f>
        <v>0.12389380530973451</v>
      </c>
      <c r="AD152">
        <v>19</v>
      </c>
      <c r="AE152" s="6">
        <f>AD152/AD155</f>
        <v>9.5959595959595953E-2</v>
      </c>
      <c r="AF152" s="6">
        <f>19/$AF$3</f>
        <v>9.5959595959595953E-2</v>
      </c>
      <c r="AH152">
        <v>19</v>
      </c>
      <c r="AI152" s="6">
        <f>AH152/AH155</f>
        <v>7.6923076923076927E-2</v>
      </c>
      <c r="AJ152" s="6">
        <f>19/$AJ$3</f>
        <v>7.6923076923076927E-2</v>
      </c>
      <c r="AL152">
        <v>16</v>
      </c>
      <c r="AM152" s="6">
        <f>AL152/AL155</f>
        <v>6.8965517241379309E-2</v>
      </c>
      <c r="AN152" s="6">
        <f>16/$AN$3</f>
        <v>6.8965517241379309E-2</v>
      </c>
      <c r="AP152">
        <v>19</v>
      </c>
      <c r="AQ152" s="6">
        <f>AP152/AP155</f>
        <v>0.10215053763440861</v>
      </c>
      <c r="AR152" s="6">
        <f>19/$AR$3</f>
        <v>0.10215053763440861</v>
      </c>
      <c r="AT152">
        <v>12</v>
      </c>
      <c r="AU152" s="6">
        <f>AT152/AT155</f>
        <v>9.6774193548387094E-2</v>
      </c>
      <c r="AV152" s="6">
        <f>12/$AV$3</f>
        <v>9.6774193548387094E-2</v>
      </c>
      <c r="AX152">
        <v>46</v>
      </c>
      <c r="AY152" s="6">
        <f>AX152/AX155</f>
        <v>0.10697674418604651</v>
      </c>
      <c r="AZ152" s="6">
        <f>46/$AZ$3</f>
        <v>0.10697674418604651</v>
      </c>
      <c r="BB152">
        <v>34</v>
      </c>
      <c r="BC152" s="6">
        <f>BB152/BB155</f>
        <v>7.9439252336448593E-2</v>
      </c>
      <c r="BD152" s="6">
        <f>34/$BD$3</f>
        <v>7.9439252336448593E-2</v>
      </c>
      <c r="BF152">
        <v>19</v>
      </c>
      <c r="BG152" s="6">
        <f>BF152/BF155</f>
        <v>7.8512396694214878E-2</v>
      </c>
      <c r="BH152" s="6">
        <f>19/$BH$3</f>
        <v>7.8512396694214878E-2</v>
      </c>
      <c r="BJ152">
        <v>43</v>
      </c>
      <c r="BK152" s="6">
        <f>BJ152/BJ155</f>
        <v>0.10669975186104218</v>
      </c>
      <c r="BL152" s="6">
        <f>43/$BL$3</f>
        <v>0.10669975186104218</v>
      </c>
      <c r="BN152">
        <v>40</v>
      </c>
      <c r="BO152" s="6">
        <f>BN152/BN155</f>
        <v>9.4562647754137114E-2</v>
      </c>
      <c r="BP152" s="6">
        <f>40/$BP$3</f>
        <v>9.4562647754137114E-2</v>
      </c>
      <c r="BR152">
        <v>16</v>
      </c>
      <c r="BS152" s="6">
        <f>BR152/BR155</f>
        <v>5.8394160583941604E-2</v>
      </c>
      <c r="BT152" s="6">
        <f>16/$BT$3</f>
        <v>5.8394160583941604E-2</v>
      </c>
      <c r="BV152">
        <v>30</v>
      </c>
      <c r="BW152" s="6">
        <f>BV152/BV155</f>
        <v>9.8360655737704916E-2</v>
      </c>
      <c r="BX152" s="6">
        <f>30/$BX$3</f>
        <v>9.8360655737704916E-2</v>
      </c>
      <c r="BZ152">
        <v>23</v>
      </c>
      <c r="CA152" s="6">
        <f>BZ152/BZ155</f>
        <v>0.10267857142857142</v>
      </c>
      <c r="CB152" s="6">
        <f>23/$CB$3</f>
        <v>0.10267857142857142</v>
      </c>
      <c r="CD152">
        <v>19</v>
      </c>
      <c r="CE152" s="6">
        <f>CD152/CD155</f>
        <v>7.8838174273858919E-2</v>
      </c>
      <c r="CF152" s="6">
        <f>19/$CF$3</f>
        <v>7.8838174273858919E-2</v>
      </c>
      <c r="CH152">
        <v>27</v>
      </c>
      <c r="CI152" s="6">
        <f>CH152/CH155</f>
        <v>8.1818181818181818E-2</v>
      </c>
      <c r="CJ152" s="6">
        <f>27/$CJ$3</f>
        <v>8.1818181818181818E-2</v>
      </c>
    </row>
    <row r="153" spans="1:88" x14ac:dyDescent="0.35">
      <c r="A153" s="1" t="s">
        <v>496</v>
      </c>
      <c r="B153">
        <v>78</v>
      </c>
      <c r="C153" s="6">
        <f>B153/B155</f>
        <v>7.0909090909090908E-2</v>
      </c>
      <c r="D153" s="6">
        <f>78/$D$3</f>
        <v>7.0909090909090908E-2</v>
      </c>
      <c r="F153">
        <v>65</v>
      </c>
      <c r="G153" s="6">
        <f>F153/F155</f>
        <v>7.1350164654226125E-2</v>
      </c>
      <c r="H153" s="6">
        <f>65/$H$3</f>
        <v>7.1350164654226125E-2</v>
      </c>
      <c r="J153">
        <v>37</v>
      </c>
      <c r="K153" s="6">
        <f>J153/J155</f>
        <v>8.5253456221198162E-2</v>
      </c>
      <c r="L153" s="6">
        <f>37/$L$3</f>
        <v>8.5253456221198162E-2</v>
      </c>
      <c r="N153">
        <v>7</v>
      </c>
      <c r="O153" s="6">
        <f>N153/N155</f>
        <v>8.6419753086419748E-2</v>
      </c>
      <c r="P153" s="6">
        <f>7/$P$3</f>
        <v>8.6419753086419748E-2</v>
      </c>
      <c r="R153">
        <v>43</v>
      </c>
      <c r="S153" s="6">
        <f>R153/R155</f>
        <v>7.678571428571429E-2</v>
      </c>
      <c r="T153" s="6">
        <f>43/$T$3</f>
        <v>7.678571428571429E-2</v>
      </c>
      <c r="V153">
        <v>35</v>
      </c>
      <c r="W153" s="6">
        <f>V153/V155</f>
        <v>6.4814814814814811E-2</v>
      </c>
      <c r="X153" s="6">
        <f>35/$X$3</f>
        <v>6.4814814814814811E-2</v>
      </c>
      <c r="Z153">
        <v>13</v>
      </c>
      <c r="AA153" s="6">
        <f>Z153/Z155</f>
        <v>0.11504424778761062</v>
      </c>
      <c r="AB153" s="6">
        <f>13/$AB$3</f>
        <v>0.11504424778761062</v>
      </c>
      <c r="AD153">
        <v>19</v>
      </c>
      <c r="AE153" s="6">
        <f>AD153/AD155</f>
        <v>9.5959595959595953E-2</v>
      </c>
      <c r="AF153" s="6">
        <f>19/$AF$3</f>
        <v>9.5959595959595953E-2</v>
      </c>
      <c r="AH153">
        <v>20</v>
      </c>
      <c r="AI153" s="6">
        <f>AH153/AH155</f>
        <v>8.0971659919028341E-2</v>
      </c>
      <c r="AJ153" s="6">
        <f>20/$AJ$3</f>
        <v>8.0971659919028341E-2</v>
      </c>
      <c r="AL153">
        <v>11</v>
      </c>
      <c r="AM153" s="6">
        <f>AL153/AL155</f>
        <v>4.7413793103448273E-2</v>
      </c>
      <c r="AN153" s="6">
        <f>11/$AN$3</f>
        <v>4.7413793103448273E-2</v>
      </c>
      <c r="AP153">
        <v>7</v>
      </c>
      <c r="AQ153" s="6">
        <f>AP153/AP155</f>
        <v>3.7634408602150539E-2</v>
      </c>
      <c r="AR153" s="6">
        <f>7/$AR$3</f>
        <v>3.7634408602150539E-2</v>
      </c>
      <c r="AT153">
        <v>8</v>
      </c>
      <c r="AU153" s="6">
        <f>AT153/AT155</f>
        <v>6.4516129032258063E-2</v>
      </c>
      <c r="AV153" s="6">
        <f>8/$AV$3</f>
        <v>6.4516129032258063E-2</v>
      </c>
      <c r="AX153">
        <v>16</v>
      </c>
      <c r="AY153" s="6">
        <f>AX153/AX155</f>
        <v>3.7209302325581395E-2</v>
      </c>
      <c r="AZ153" s="6">
        <f>16/$AZ$3</f>
        <v>3.7209302325581395E-2</v>
      </c>
      <c r="BB153">
        <v>37</v>
      </c>
      <c r="BC153" s="6">
        <f>BB153/BB155</f>
        <v>8.6448598130841117E-2</v>
      </c>
      <c r="BD153" s="6">
        <f>37/$BD$3</f>
        <v>8.6448598130841117E-2</v>
      </c>
      <c r="BF153">
        <v>25</v>
      </c>
      <c r="BG153" s="6">
        <f>BF153/BF155</f>
        <v>0.10330578512396695</v>
      </c>
      <c r="BH153" s="6">
        <f>25/$BH$3</f>
        <v>0.10330578512396695</v>
      </c>
      <c r="BI153" s="7" t="s">
        <v>3</v>
      </c>
      <c r="BJ153">
        <v>29</v>
      </c>
      <c r="BK153" s="6">
        <f>BJ153/BJ155</f>
        <v>7.1960297766749379E-2</v>
      </c>
      <c r="BL153" s="6">
        <f>29/$BL$3</f>
        <v>7.1960297766749379E-2</v>
      </c>
      <c r="BN153">
        <v>31</v>
      </c>
      <c r="BO153" s="6">
        <f>BN153/BN155</f>
        <v>7.328605200945626E-2</v>
      </c>
      <c r="BP153" s="6">
        <f>31/$BP$3</f>
        <v>7.328605200945626E-2</v>
      </c>
      <c r="BR153">
        <v>18</v>
      </c>
      <c r="BS153" s="6">
        <f>BR153/BR155</f>
        <v>6.569343065693431E-2</v>
      </c>
      <c r="BT153" s="6">
        <f>18/$BT$3</f>
        <v>6.569343065693431E-2</v>
      </c>
      <c r="BV153">
        <v>24</v>
      </c>
      <c r="BW153" s="6">
        <f>BV153/BV155</f>
        <v>7.8688524590163941E-2</v>
      </c>
      <c r="BX153" s="6">
        <f>24/$BX$3</f>
        <v>7.8688524590163941E-2</v>
      </c>
      <c r="BZ153">
        <v>14</v>
      </c>
      <c r="CA153" s="6">
        <f>BZ153/BZ155</f>
        <v>6.25E-2</v>
      </c>
      <c r="CB153" s="6">
        <f>14/$CB$3</f>
        <v>6.25E-2</v>
      </c>
      <c r="CD153">
        <v>16</v>
      </c>
      <c r="CE153" s="6">
        <f>CD153/CD155</f>
        <v>6.6390041493775934E-2</v>
      </c>
      <c r="CF153" s="6">
        <f>16/$CF$3</f>
        <v>6.6390041493775934E-2</v>
      </c>
      <c r="CH153">
        <v>24</v>
      </c>
      <c r="CI153" s="6">
        <f>CH153/CH155</f>
        <v>7.2727272727272724E-2</v>
      </c>
      <c r="CJ153" s="6">
        <f>24/$CJ$3</f>
        <v>7.2727272727272724E-2</v>
      </c>
    </row>
    <row r="154" spans="1:88" x14ac:dyDescent="0.35">
      <c r="A154" s="1" t="s">
        <v>409</v>
      </c>
      <c r="B154">
        <v>410</v>
      </c>
      <c r="C154" s="6">
        <f>B154/B155</f>
        <v>0.37272727272727274</v>
      </c>
      <c r="D154" s="6">
        <f>410/$D$3</f>
        <v>0.37272727272727274</v>
      </c>
      <c r="F154">
        <v>343</v>
      </c>
      <c r="G154" s="6">
        <f>F154/F155</f>
        <v>0.37650933040614709</v>
      </c>
      <c r="H154" s="6">
        <f>343/$H$3</f>
        <v>0.37650933040614709</v>
      </c>
      <c r="J154">
        <v>218</v>
      </c>
      <c r="K154" s="6">
        <f>J154/J155</f>
        <v>0.50230414746543783</v>
      </c>
      <c r="L154" s="9">
        <f>218/$L$3</f>
        <v>0.50230414746543783</v>
      </c>
      <c r="N154">
        <v>20</v>
      </c>
      <c r="O154" s="6">
        <f>N154/N155</f>
        <v>0.24691358024691357</v>
      </c>
      <c r="P154" s="8">
        <f>20/$P$3</f>
        <v>0.24691358024691357</v>
      </c>
      <c r="R154">
        <v>204</v>
      </c>
      <c r="S154" s="6">
        <f>R154/R155</f>
        <v>0.36428571428571427</v>
      </c>
      <c r="T154" s="6">
        <f>204/$T$3</f>
        <v>0.36428571428571427</v>
      </c>
      <c r="V154">
        <v>206</v>
      </c>
      <c r="W154" s="6">
        <f>V154/V155</f>
        <v>0.38148148148148148</v>
      </c>
      <c r="X154" s="6">
        <f>206/$X$3</f>
        <v>0.38148148148148148</v>
      </c>
      <c r="Z154">
        <v>35</v>
      </c>
      <c r="AA154" s="6">
        <f>Z154/Z155</f>
        <v>0.30973451327433627</v>
      </c>
      <c r="AB154" s="6">
        <f>35/$AB$3</f>
        <v>0.30973451327433627</v>
      </c>
      <c r="AD154">
        <v>69</v>
      </c>
      <c r="AE154" s="6">
        <f>AD154/AD155</f>
        <v>0.34848484848484851</v>
      </c>
      <c r="AF154" s="6">
        <f>69/$AF$3</f>
        <v>0.34848484848484851</v>
      </c>
      <c r="AH154">
        <v>80</v>
      </c>
      <c r="AI154" s="6">
        <f>AH154/AH155</f>
        <v>0.32388663967611336</v>
      </c>
      <c r="AJ154" s="6">
        <f>80/$AJ$3</f>
        <v>0.32388663967611336</v>
      </c>
      <c r="AL154">
        <v>87</v>
      </c>
      <c r="AM154" s="6">
        <f>AL154/AL155</f>
        <v>0.375</v>
      </c>
      <c r="AN154" s="6">
        <f>87/$AN$3</f>
        <v>0.375</v>
      </c>
      <c r="AP154">
        <v>83</v>
      </c>
      <c r="AQ154" s="6">
        <f>AP154/AP155</f>
        <v>0.44623655913978494</v>
      </c>
      <c r="AR154" s="9">
        <f>83/$AR$3</f>
        <v>0.44623655913978494</v>
      </c>
      <c r="AT154">
        <v>56</v>
      </c>
      <c r="AU154" s="6">
        <f>AT154/AT155</f>
        <v>0.45161290322580644</v>
      </c>
      <c r="AV154" s="6">
        <f>56/$AV$3</f>
        <v>0.45161290322580644</v>
      </c>
      <c r="AX154">
        <v>163</v>
      </c>
      <c r="AY154" s="6">
        <f>AX154/AX155</f>
        <v>0.37906976744186044</v>
      </c>
      <c r="AZ154" s="6">
        <f>163/$AZ$3</f>
        <v>0.37906976744186044</v>
      </c>
      <c r="BB154">
        <v>165</v>
      </c>
      <c r="BC154" s="6">
        <f>BB154/BB155</f>
        <v>0.3855140186915888</v>
      </c>
      <c r="BD154" s="6">
        <f>165/$BD$3</f>
        <v>0.3855140186915888</v>
      </c>
      <c r="BF154">
        <v>82</v>
      </c>
      <c r="BG154" s="6">
        <f>BF154/BF155</f>
        <v>0.33884297520661155</v>
      </c>
      <c r="BH154" s="6">
        <f>82/$BH$3</f>
        <v>0.33884297520661155</v>
      </c>
      <c r="BJ154">
        <v>157</v>
      </c>
      <c r="BK154" s="6">
        <f>BJ154/BJ155</f>
        <v>0.38957816377171217</v>
      </c>
      <c r="BL154" s="6">
        <f>157/$BL$3</f>
        <v>0.38957816377171217</v>
      </c>
      <c r="BN154">
        <v>151</v>
      </c>
      <c r="BO154" s="6">
        <f>BN154/BN155</f>
        <v>0.35697399527186763</v>
      </c>
      <c r="BP154" s="6">
        <f>151/$BP$3</f>
        <v>0.35697399527186763</v>
      </c>
      <c r="BR154">
        <v>102</v>
      </c>
      <c r="BS154" s="6">
        <f>BR154/BR155</f>
        <v>0.37226277372262773</v>
      </c>
      <c r="BT154" s="6">
        <f>102/$BT$3</f>
        <v>0.37226277372262773</v>
      </c>
      <c r="BV154">
        <v>123</v>
      </c>
      <c r="BW154" s="6">
        <f>BV154/BV155</f>
        <v>0.40327868852459015</v>
      </c>
      <c r="BX154" s="6">
        <f>123/$BX$3</f>
        <v>0.40327868852459015</v>
      </c>
      <c r="BZ154">
        <v>77</v>
      </c>
      <c r="CA154" s="6">
        <f>BZ154/BZ155</f>
        <v>0.34375</v>
      </c>
      <c r="CB154" s="6">
        <f>77/$CB$3</f>
        <v>0.34375</v>
      </c>
      <c r="CD154">
        <v>89</v>
      </c>
      <c r="CE154" s="6">
        <f>CD154/CD155</f>
        <v>0.36929460580912865</v>
      </c>
      <c r="CF154" s="6">
        <f>89/$CF$3</f>
        <v>0.36929460580912865</v>
      </c>
      <c r="CH154">
        <v>121</v>
      </c>
      <c r="CI154" s="6">
        <f>CH154/CH155</f>
        <v>0.36666666666666664</v>
      </c>
      <c r="CJ154" s="6">
        <f>121/$CJ$3</f>
        <v>0.36666666666666664</v>
      </c>
    </row>
    <row r="155" spans="1:88" s="10" customFormat="1" x14ac:dyDescent="0.35">
      <c r="A155" s="11" t="s">
        <v>411</v>
      </c>
      <c r="B155" s="10">
        <v>1100</v>
      </c>
      <c r="F155" s="10">
        <v>911</v>
      </c>
      <c r="J155" s="10">
        <v>434</v>
      </c>
      <c r="N155" s="10">
        <v>81</v>
      </c>
      <c r="R155" s="10">
        <v>560</v>
      </c>
      <c r="V155" s="10">
        <v>540</v>
      </c>
      <c r="Z155" s="10">
        <v>113</v>
      </c>
      <c r="AD155" s="10">
        <v>198</v>
      </c>
      <c r="AH155" s="10">
        <v>247</v>
      </c>
      <c r="AL155" s="10">
        <v>232</v>
      </c>
      <c r="AP155" s="10">
        <v>186</v>
      </c>
      <c r="AT155" s="10">
        <v>124</v>
      </c>
      <c r="AX155" s="10">
        <v>430</v>
      </c>
      <c r="BB155" s="10">
        <v>428</v>
      </c>
      <c r="BF155" s="10">
        <v>242</v>
      </c>
      <c r="BJ155" s="10">
        <v>403</v>
      </c>
      <c r="BN155" s="10">
        <v>423</v>
      </c>
      <c r="BR155" s="10">
        <v>274</v>
      </c>
      <c r="BV155" s="10">
        <v>305</v>
      </c>
      <c r="BZ155" s="10">
        <v>224</v>
      </c>
      <c r="CD155" s="10">
        <v>241</v>
      </c>
      <c r="CH155" s="10">
        <v>330</v>
      </c>
    </row>
    <row r="156" spans="1:88" hidden="1" x14ac:dyDescent="0.35">
      <c r="A156" s="12" t="s">
        <v>412</v>
      </c>
      <c r="B156">
        <v>0</v>
      </c>
      <c r="F156">
        <v>0</v>
      </c>
      <c r="J156">
        <v>0</v>
      </c>
      <c r="N156">
        <v>0</v>
      </c>
      <c r="R156">
        <v>0</v>
      </c>
      <c r="V156">
        <v>0</v>
      </c>
      <c r="Z156">
        <v>0</v>
      </c>
      <c r="AD156">
        <v>0</v>
      </c>
      <c r="AH156">
        <v>0</v>
      </c>
      <c r="AL156">
        <v>0</v>
      </c>
      <c r="AP156">
        <v>0</v>
      </c>
      <c r="AT156">
        <v>0</v>
      </c>
      <c r="AX156">
        <v>0</v>
      </c>
      <c r="BB156">
        <v>0</v>
      </c>
      <c r="BF156">
        <v>0</v>
      </c>
      <c r="BJ156">
        <v>0</v>
      </c>
      <c r="BN156">
        <v>0</v>
      </c>
      <c r="BR156">
        <v>0</v>
      </c>
      <c r="BV156">
        <v>0</v>
      </c>
      <c r="BZ156">
        <v>0</v>
      </c>
      <c r="CD156">
        <v>0</v>
      </c>
      <c r="CH156">
        <v>0</v>
      </c>
    </row>
    <row r="157" spans="1:88" hidden="1" x14ac:dyDescent="0.35">
      <c r="A157" s="12" t="s">
        <v>413</v>
      </c>
      <c r="B157">
        <v>0</v>
      </c>
      <c r="F157">
        <v>0</v>
      </c>
      <c r="J157">
        <v>0</v>
      </c>
      <c r="N157">
        <v>0</v>
      </c>
      <c r="R157">
        <v>0</v>
      </c>
      <c r="V157">
        <v>0</v>
      </c>
      <c r="Z157">
        <v>0</v>
      </c>
      <c r="AD157">
        <v>0</v>
      </c>
      <c r="AH157">
        <v>0</v>
      </c>
      <c r="AL157">
        <v>0</v>
      </c>
      <c r="AP157">
        <v>0</v>
      </c>
      <c r="AT157">
        <v>0</v>
      </c>
      <c r="AX157">
        <v>0</v>
      </c>
      <c r="BB157">
        <v>0</v>
      </c>
      <c r="BF157">
        <v>0</v>
      </c>
      <c r="BJ157">
        <v>0</v>
      </c>
      <c r="BN157">
        <v>0</v>
      </c>
      <c r="BR157">
        <v>0</v>
      </c>
      <c r="BV157">
        <v>0</v>
      </c>
      <c r="BZ157">
        <v>0</v>
      </c>
      <c r="CD157">
        <v>0</v>
      </c>
      <c r="CH157">
        <v>0</v>
      </c>
    </row>
    <row r="159" spans="1:88" x14ac:dyDescent="0.35">
      <c r="AB159" s="2" t="s">
        <v>3</v>
      </c>
      <c r="AF159" s="2" t="s">
        <v>4</v>
      </c>
      <c r="AJ159" s="2" t="s">
        <v>5</v>
      </c>
      <c r="AN159" s="2" t="s">
        <v>6</v>
      </c>
      <c r="AR159" s="2" t="s">
        <v>7</v>
      </c>
      <c r="AV159" s="2" t="s">
        <v>8</v>
      </c>
      <c r="AZ159" s="2" t="s">
        <v>3</v>
      </c>
      <c r="BD159" s="2" t="s">
        <v>4</v>
      </c>
      <c r="BH159" s="2" t="s">
        <v>5</v>
      </c>
      <c r="BL159" s="2" t="s">
        <v>3</v>
      </c>
      <c r="BP159" s="2" t="s">
        <v>4</v>
      </c>
      <c r="BT159" s="2" t="s">
        <v>5</v>
      </c>
      <c r="BX159" s="2" t="s">
        <v>3</v>
      </c>
      <c r="CB159" s="2" t="s">
        <v>4</v>
      </c>
      <c r="CF159" s="2" t="s">
        <v>5</v>
      </c>
      <c r="CJ159" s="2" t="s">
        <v>6</v>
      </c>
    </row>
    <row r="160" spans="1:88" s="3" customFormat="1" x14ac:dyDescent="0.35">
      <c r="A160" s="3" t="s">
        <v>497</v>
      </c>
      <c r="D160" s="5" t="s">
        <v>406</v>
      </c>
      <c r="H160" s="5" t="s">
        <v>406</v>
      </c>
      <c r="L160" s="5" t="s">
        <v>406</v>
      </c>
      <c r="P160" s="5" t="s">
        <v>406</v>
      </c>
      <c r="T160" s="5" t="s">
        <v>406</v>
      </c>
      <c r="X160" s="5" t="s">
        <v>406</v>
      </c>
      <c r="AB160" s="5" t="s">
        <v>406</v>
      </c>
      <c r="AF160" s="5" t="s">
        <v>406</v>
      </c>
      <c r="AJ160" s="5" t="s">
        <v>406</v>
      </c>
      <c r="AN160" s="5" t="s">
        <v>406</v>
      </c>
      <c r="AR160" s="5" t="s">
        <v>406</v>
      </c>
      <c r="AV160" s="5" t="s">
        <v>406</v>
      </c>
      <c r="AZ160" s="5" t="s">
        <v>406</v>
      </c>
      <c r="BD160" s="5" t="s">
        <v>406</v>
      </c>
      <c r="BH160" s="5" t="s">
        <v>406</v>
      </c>
      <c r="BL160" s="5" t="s">
        <v>406</v>
      </c>
      <c r="BP160" s="5" t="s">
        <v>406</v>
      </c>
      <c r="BT160" s="5" t="s">
        <v>406</v>
      </c>
      <c r="BX160" s="5" t="s">
        <v>406</v>
      </c>
      <c r="CB160" s="5" t="s">
        <v>406</v>
      </c>
      <c r="CF160" s="5" t="s">
        <v>406</v>
      </c>
      <c r="CJ160" s="5" t="s">
        <v>406</v>
      </c>
    </row>
    <row r="161" spans="1:88" x14ac:dyDescent="0.35">
      <c r="A161" s="1" t="s">
        <v>498</v>
      </c>
      <c r="B161">
        <v>611</v>
      </c>
      <c r="C161" s="6">
        <f>B161/B238</f>
        <v>0.55545454545454542</v>
      </c>
      <c r="D161" s="6">
        <f>611/$D$3</f>
        <v>0.55545454545454542</v>
      </c>
      <c r="F161">
        <v>521</v>
      </c>
      <c r="G161" s="6">
        <f>F161/F238</f>
        <v>0.57189901207464322</v>
      </c>
      <c r="H161" s="6">
        <f>521/$H$3</f>
        <v>0.57189901207464322</v>
      </c>
      <c r="J161">
        <v>235</v>
      </c>
      <c r="K161" s="6">
        <f>J161/J238</f>
        <v>0.54147465437788023</v>
      </c>
      <c r="L161" s="6">
        <f>235/$L$3</f>
        <v>0.54147465437788023</v>
      </c>
      <c r="N161">
        <v>48</v>
      </c>
      <c r="O161" s="6">
        <f>N161/N238</f>
        <v>0.59259259259259256</v>
      </c>
      <c r="P161" s="6">
        <f>48/$P$3</f>
        <v>0.59259259259259256</v>
      </c>
      <c r="R161">
        <v>319</v>
      </c>
      <c r="S161" s="6">
        <f>R161/R238</f>
        <v>0.56964285714285712</v>
      </c>
      <c r="T161" s="6">
        <f>319/$T$3</f>
        <v>0.56964285714285712</v>
      </c>
      <c r="V161">
        <v>292</v>
      </c>
      <c r="W161" s="6">
        <f>V161/V238</f>
        <v>0.54074074074074074</v>
      </c>
      <c r="X161" s="6">
        <f>292/$X$3</f>
        <v>0.54074074074074074</v>
      </c>
      <c r="Z161">
        <v>57</v>
      </c>
      <c r="AA161" s="6">
        <f>Z161/Z238</f>
        <v>0.50442477876106195</v>
      </c>
      <c r="AB161" s="6">
        <f>57/$AB$3</f>
        <v>0.50442477876106195</v>
      </c>
      <c r="AD161">
        <v>114</v>
      </c>
      <c r="AE161" s="6">
        <f>AD161/AD238</f>
        <v>0.5757575757575758</v>
      </c>
      <c r="AF161" s="6">
        <f>114/$AF$3</f>
        <v>0.5757575757575758</v>
      </c>
      <c r="AH161">
        <v>123</v>
      </c>
      <c r="AI161" s="6">
        <f>AH161/AH238</f>
        <v>0.49797570850202427</v>
      </c>
      <c r="AJ161" s="8">
        <f>123/$AJ$3</f>
        <v>0.49797570850202427</v>
      </c>
      <c r="AL161">
        <v>138</v>
      </c>
      <c r="AM161" s="6">
        <f>AL161/AL238</f>
        <v>0.59482758620689657</v>
      </c>
      <c r="AN161" s="6">
        <f>138/$AN$3</f>
        <v>0.59482758620689657</v>
      </c>
      <c r="AP161">
        <v>105</v>
      </c>
      <c r="AQ161" s="6">
        <f>AP161/AP238</f>
        <v>0.56451612903225812</v>
      </c>
      <c r="AR161" s="6">
        <f>105/$AR$3</f>
        <v>0.56451612903225812</v>
      </c>
      <c r="AT161">
        <v>74</v>
      </c>
      <c r="AU161" s="6">
        <f>AT161/AT238</f>
        <v>0.59677419354838712</v>
      </c>
      <c r="AV161" s="6">
        <f>74/$AV$3</f>
        <v>0.59677419354838712</v>
      </c>
      <c r="AX161">
        <v>254</v>
      </c>
      <c r="AY161" s="6">
        <f>AX161/AX238</f>
        <v>0.59069767441860466</v>
      </c>
      <c r="AZ161" s="6">
        <f>254/$AZ$3</f>
        <v>0.59069767441860466</v>
      </c>
      <c r="BA161" s="7" t="s">
        <v>5</v>
      </c>
      <c r="BB161">
        <v>242</v>
      </c>
      <c r="BC161" s="6">
        <f>BB161/BB238</f>
        <v>0.56542056074766356</v>
      </c>
      <c r="BD161" s="6">
        <f>242/$BD$3</f>
        <v>0.56542056074766356</v>
      </c>
      <c r="BF161">
        <v>115</v>
      </c>
      <c r="BG161" s="6">
        <f>BF161/BF238</f>
        <v>0.47520661157024796</v>
      </c>
      <c r="BH161" s="8">
        <f>115/$BH$3</f>
        <v>0.47520661157024796</v>
      </c>
      <c r="BJ161">
        <v>224</v>
      </c>
      <c r="BK161" s="6">
        <f>BJ161/BJ238</f>
        <v>0.55583126550868489</v>
      </c>
      <c r="BL161" s="6">
        <f>224/$BL$3</f>
        <v>0.55583126550868489</v>
      </c>
      <c r="BN161">
        <v>253</v>
      </c>
      <c r="BO161" s="6">
        <f>BN161/BN238</f>
        <v>0.59810874704491723</v>
      </c>
      <c r="BP161" s="6">
        <f>253/$BP$3</f>
        <v>0.59810874704491723</v>
      </c>
      <c r="BQ161" s="7"/>
      <c r="BR161">
        <v>134</v>
      </c>
      <c r="BS161" s="6">
        <f>BR161/BR238</f>
        <v>0.48905109489051096</v>
      </c>
      <c r="BT161" s="8">
        <f>134/$BT$3</f>
        <v>0.48905109489051096</v>
      </c>
      <c r="BV161">
        <v>178</v>
      </c>
      <c r="BW161" s="6">
        <f>BV161/BV238</f>
        <v>0.58360655737704914</v>
      </c>
      <c r="BX161" s="6">
        <f>178/$BX$3</f>
        <v>0.58360655737704914</v>
      </c>
      <c r="BZ161">
        <v>120</v>
      </c>
      <c r="CA161" s="6">
        <f>BZ161/BZ238</f>
        <v>0.5357142857142857</v>
      </c>
      <c r="CB161" s="6">
        <f>120/$CB$3</f>
        <v>0.5357142857142857</v>
      </c>
      <c r="CD161">
        <v>148</v>
      </c>
      <c r="CE161" s="6">
        <f>CD161/CD238</f>
        <v>0.61410788381742742</v>
      </c>
      <c r="CF161" s="9">
        <f>148/$CF$3</f>
        <v>0.61410788381742742</v>
      </c>
      <c r="CH161">
        <v>165</v>
      </c>
      <c r="CI161" s="6">
        <f>CH161/CH238</f>
        <v>0.5</v>
      </c>
      <c r="CJ161" s="8">
        <f>165/$CJ$3</f>
        <v>0.5</v>
      </c>
    </row>
    <row r="162" spans="1:88" x14ac:dyDescent="0.35">
      <c r="A162" s="1" t="s">
        <v>499</v>
      </c>
      <c r="B162">
        <v>405</v>
      </c>
      <c r="C162" s="6">
        <f>B162/B238</f>
        <v>0.36818181818181817</v>
      </c>
      <c r="D162" s="6">
        <f>405/$D$3</f>
        <v>0.36818181818181817</v>
      </c>
      <c r="F162">
        <v>338</v>
      </c>
      <c r="G162" s="6">
        <f>F162/F238</f>
        <v>0.37102085620197583</v>
      </c>
      <c r="H162" s="6">
        <f>338/$H$3</f>
        <v>0.37102085620197583</v>
      </c>
      <c r="J162">
        <v>173</v>
      </c>
      <c r="K162" s="6">
        <f>J162/J238</f>
        <v>0.39861751152073732</v>
      </c>
      <c r="L162" s="6">
        <f>173/$L$3</f>
        <v>0.39861751152073732</v>
      </c>
      <c r="N162">
        <v>30</v>
      </c>
      <c r="O162" s="6">
        <f>N162/N238</f>
        <v>0.37037037037037035</v>
      </c>
      <c r="P162" s="6">
        <f>30/$P$3</f>
        <v>0.37037037037037035</v>
      </c>
      <c r="R162">
        <v>192</v>
      </c>
      <c r="S162" s="6">
        <f>R162/R238</f>
        <v>0.34285714285714286</v>
      </c>
      <c r="T162" s="6">
        <f>192/$T$3</f>
        <v>0.34285714285714286</v>
      </c>
      <c r="V162">
        <v>213</v>
      </c>
      <c r="W162" s="6">
        <f>V162/V238</f>
        <v>0.39444444444444443</v>
      </c>
      <c r="X162" s="6">
        <f>213/$X$3</f>
        <v>0.39444444444444443</v>
      </c>
      <c r="Z162">
        <v>47</v>
      </c>
      <c r="AA162" s="6">
        <f>Z162/Z238</f>
        <v>0.41592920353982299</v>
      </c>
      <c r="AB162" s="6">
        <f>47/$AB$3</f>
        <v>0.41592920353982299</v>
      </c>
      <c r="AD162">
        <v>73</v>
      </c>
      <c r="AE162" s="6">
        <f>AD162/AD238</f>
        <v>0.36868686868686867</v>
      </c>
      <c r="AF162" s="6">
        <f>73/$AF$3</f>
        <v>0.36868686868686867</v>
      </c>
      <c r="AH162">
        <v>104</v>
      </c>
      <c r="AI162" s="6">
        <f>AH162/AH238</f>
        <v>0.42105263157894735</v>
      </c>
      <c r="AJ162" s="6">
        <f>104/$AJ$3</f>
        <v>0.42105263157894735</v>
      </c>
      <c r="AK162" s="7"/>
      <c r="AL162">
        <v>81</v>
      </c>
      <c r="AM162" s="6">
        <f>AL162/AL238</f>
        <v>0.34913793103448276</v>
      </c>
      <c r="AN162" s="6">
        <f>81/$AN$3</f>
        <v>0.34913793103448276</v>
      </c>
      <c r="AP162">
        <v>66</v>
      </c>
      <c r="AQ162" s="6">
        <f>AP162/AP238</f>
        <v>0.35483870967741937</v>
      </c>
      <c r="AR162" s="6">
        <f>66/$AR$3</f>
        <v>0.35483870967741937</v>
      </c>
      <c r="AT162">
        <v>34</v>
      </c>
      <c r="AU162" s="6">
        <f>AT162/AT238</f>
        <v>0.27419354838709675</v>
      </c>
      <c r="AV162" s="8">
        <f>34/$AV$3</f>
        <v>0.27419354838709675</v>
      </c>
      <c r="AX162">
        <v>146</v>
      </c>
      <c r="AY162" s="6">
        <f>AX162/AX238</f>
        <v>0.33953488372093021</v>
      </c>
      <c r="AZ162" s="6">
        <f>146/$AZ$3</f>
        <v>0.33953488372093021</v>
      </c>
      <c r="BB162">
        <v>156</v>
      </c>
      <c r="BC162" s="6">
        <f>BB162/BB238</f>
        <v>0.3644859813084112</v>
      </c>
      <c r="BD162" s="6">
        <f>156/$BD$3</f>
        <v>0.3644859813084112</v>
      </c>
      <c r="BF162">
        <v>103</v>
      </c>
      <c r="BG162" s="6">
        <f>BF162/BF238</f>
        <v>0.42561983471074383</v>
      </c>
      <c r="BH162" s="9">
        <f>103/$BH$3</f>
        <v>0.42561983471074383</v>
      </c>
      <c r="BJ162">
        <v>146</v>
      </c>
      <c r="BK162" s="6">
        <f>BJ162/BJ238</f>
        <v>0.36228287841191065</v>
      </c>
      <c r="BL162" s="6">
        <f>146/$BL$3</f>
        <v>0.36228287841191065</v>
      </c>
      <c r="BN162">
        <v>142</v>
      </c>
      <c r="BO162" s="6">
        <f>BN162/BN238</f>
        <v>0.33569739952718675</v>
      </c>
      <c r="BP162" s="6">
        <f>142/$BP$3</f>
        <v>0.33569739952718675</v>
      </c>
      <c r="BR162">
        <v>117</v>
      </c>
      <c r="BS162" s="6">
        <f>BR162/BR238</f>
        <v>0.42700729927007297</v>
      </c>
      <c r="BT162" s="9">
        <f>117/$BT$3</f>
        <v>0.42700729927007297</v>
      </c>
      <c r="BV162">
        <v>103</v>
      </c>
      <c r="BW162" s="6">
        <f>BV162/BV238</f>
        <v>0.3377049180327869</v>
      </c>
      <c r="BX162" s="6">
        <f>103/$BX$3</f>
        <v>0.3377049180327869</v>
      </c>
      <c r="BZ162">
        <v>88</v>
      </c>
      <c r="CA162" s="6">
        <f>BZ162/BZ238</f>
        <v>0.39285714285714285</v>
      </c>
      <c r="CB162" s="6">
        <f>88/$CB$3</f>
        <v>0.39285714285714285</v>
      </c>
      <c r="CD162">
        <v>76</v>
      </c>
      <c r="CE162" s="6">
        <f>CD162/CD238</f>
        <v>0.31535269709543567</v>
      </c>
      <c r="CF162" s="6">
        <f>76/$CF$3</f>
        <v>0.31535269709543567</v>
      </c>
      <c r="CH162">
        <v>138</v>
      </c>
      <c r="CI162" s="6">
        <f>CH162/CH238</f>
        <v>0.41818181818181815</v>
      </c>
      <c r="CJ162" s="6">
        <f>138/$CJ$3</f>
        <v>0.41818181818181815</v>
      </c>
    </row>
    <row r="163" spans="1:88" x14ac:dyDescent="0.35">
      <c r="A163" s="1" t="s">
        <v>500</v>
      </c>
      <c r="B163">
        <v>38</v>
      </c>
      <c r="C163" s="6">
        <f>B163/B238</f>
        <v>3.4545454545454546E-2</v>
      </c>
      <c r="D163" s="6">
        <f>38/$D$3</f>
        <v>3.4545454545454546E-2</v>
      </c>
      <c r="F163">
        <v>34</v>
      </c>
      <c r="G163" s="6">
        <f>F163/F238</f>
        <v>3.7321624588364431E-2</v>
      </c>
      <c r="H163" s="6">
        <f>34/$H$3</f>
        <v>3.7321624588364431E-2</v>
      </c>
      <c r="J163">
        <v>20</v>
      </c>
      <c r="K163" s="6">
        <f>J163/J238</f>
        <v>4.6082949308755762E-2</v>
      </c>
      <c r="L163" s="6">
        <f>20/$L$3</f>
        <v>4.6082949308755762E-2</v>
      </c>
      <c r="N163">
        <v>0</v>
      </c>
      <c r="O163" s="6">
        <f>N163/N238</f>
        <v>0</v>
      </c>
      <c r="P163" s="6">
        <f>0/$P$3</f>
        <v>0</v>
      </c>
      <c r="R163">
        <v>23</v>
      </c>
      <c r="S163" s="6">
        <f>R163/R238</f>
        <v>4.1071428571428571E-2</v>
      </c>
      <c r="T163" s="6">
        <f>23/$T$3</f>
        <v>4.1071428571428571E-2</v>
      </c>
      <c r="V163">
        <v>15</v>
      </c>
      <c r="W163" s="6">
        <f>V163/V238</f>
        <v>2.7777777777777776E-2</v>
      </c>
      <c r="X163" s="6">
        <f>15/$X$3</f>
        <v>2.7777777777777776E-2</v>
      </c>
      <c r="Z163">
        <v>3</v>
      </c>
      <c r="AA163" s="6">
        <f>Z163/Z238</f>
        <v>2.6548672566371681E-2</v>
      </c>
      <c r="AB163" s="6">
        <f>3/$AB$3</f>
        <v>2.6548672566371681E-2</v>
      </c>
      <c r="AD163">
        <v>6</v>
      </c>
      <c r="AE163" s="6">
        <f>AD163/AD238</f>
        <v>3.0303030303030304E-2</v>
      </c>
      <c r="AF163" s="6">
        <f>6/$AF$3</f>
        <v>3.0303030303030304E-2</v>
      </c>
      <c r="AH163">
        <v>12</v>
      </c>
      <c r="AI163" s="6">
        <f>AH163/AH238</f>
        <v>4.8582995951417005E-2</v>
      </c>
      <c r="AJ163" s="6">
        <f>12/$AJ$3</f>
        <v>4.8582995951417005E-2</v>
      </c>
      <c r="AL163">
        <v>5</v>
      </c>
      <c r="AM163" s="6">
        <f>AL163/AL238</f>
        <v>2.1551724137931036E-2</v>
      </c>
      <c r="AN163" s="6">
        <f>5/$AN$3</f>
        <v>2.1551724137931036E-2</v>
      </c>
      <c r="AP163">
        <v>4</v>
      </c>
      <c r="AQ163" s="6">
        <f>AP163/AP238</f>
        <v>2.1505376344086023E-2</v>
      </c>
      <c r="AR163" s="6">
        <f>4/$AR$3</f>
        <v>2.1505376344086023E-2</v>
      </c>
      <c r="AT163">
        <v>8</v>
      </c>
      <c r="AU163" s="6">
        <f>AT163/AT238</f>
        <v>6.4516129032258063E-2</v>
      </c>
      <c r="AV163" s="6">
        <f>8/$AV$3</f>
        <v>6.4516129032258063E-2</v>
      </c>
      <c r="AX163">
        <v>14</v>
      </c>
      <c r="AY163" s="6">
        <f>AX163/AX238</f>
        <v>3.255813953488372E-2</v>
      </c>
      <c r="AZ163" s="6">
        <f>14/$AZ$3</f>
        <v>3.255813953488372E-2</v>
      </c>
      <c r="BB163">
        <v>13</v>
      </c>
      <c r="BC163" s="6">
        <f>BB163/BB238</f>
        <v>3.0373831775700934E-2</v>
      </c>
      <c r="BD163" s="6">
        <f>13/$BD$3</f>
        <v>3.0373831775700934E-2</v>
      </c>
      <c r="BF163">
        <v>11</v>
      </c>
      <c r="BG163" s="6">
        <f>BF163/BF238</f>
        <v>4.5454545454545456E-2</v>
      </c>
      <c r="BH163" s="6">
        <f>11/$BH$3</f>
        <v>4.5454545454545456E-2</v>
      </c>
      <c r="BJ163">
        <v>12</v>
      </c>
      <c r="BK163" s="6">
        <f>BJ163/BJ238</f>
        <v>2.9776674937965261E-2</v>
      </c>
      <c r="BL163" s="6">
        <f>12/$BL$3</f>
        <v>2.9776674937965261E-2</v>
      </c>
      <c r="BN163">
        <v>13</v>
      </c>
      <c r="BO163" s="6">
        <f>BN163/BN238</f>
        <v>3.0732860520094562E-2</v>
      </c>
      <c r="BP163" s="6">
        <f>13/$BP$3</f>
        <v>3.0732860520094562E-2</v>
      </c>
      <c r="BR163">
        <v>13</v>
      </c>
      <c r="BS163" s="6">
        <f>BR163/BR238</f>
        <v>4.7445255474452552E-2</v>
      </c>
      <c r="BT163" s="6">
        <f>13/$BT$3</f>
        <v>4.7445255474452552E-2</v>
      </c>
      <c r="BV163">
        <v>12</v>
      </c>
      <c r="BW163" s="6">
        <f>BV163/BV238</f>
        <v>3.9344262295081971E-2</v>
      </c>
      <c r="BX163" s="6">
        <f>12/$BX$3</f>
        <v>3.9344262295081971E-2</v>
      </c>
      <c r="BZ163">
        <v>6</v>
      </c>
      <c r="CA163" s="6">
        <f>BZ163/BZ238</f>
        <v>2.6785714285714284E-2</v>
      </c>
      <c r="CB163" s="6">
        <f>6/$CB$3</f>
        <v>2.6785714285714284E-2</v>
      </c>
      <c r="CD163">
        <v>7</v>
      </c>
      <c r="CE163" s="6">
        <f>CD163/CD238</f>
        <v>2.9045643153526972E-2</v>
      </c>
      <c r="CF163" s="6">
        <f>7/$CF$3</f>
        <v>2.9045643153526972E-2</v>
      </c>
      <c r="CH163">
        <v>13</v>
      </c>
      <c r="CI163" s="6">
        <f>CH163/CH238</f>
        <v>3.9393939393939391E-2</v>
      </c>
      <c r="CJ163" s="6">
        <f>13/$CJ$3</f>
        <v>3.9393939393939391E-2</v>
      </c>
    </row>
    <row r="164" spans="1:88" x14ac:dyDescent="0.35">
      <c r="A164" s="1" t="s">
        <v>501</v>
      </c>
      <c r="B164">
        <v>46</v>
      </c>
      <c r="C164" s="6">
        <f>B164/B238</f>
        <v>4.1818181818181817E-2</v>
      </c>
      <c r="D164" s="6">
        <f>46/$D$3</f>
        <v>4.1818181818181817E-2</v>
      </c>
      <c r="F164">
        <v>18</v>
      </c>
      <c r="G164" s="6">
        <f>F164/F238</f>
        <v>1.9758507135016465E-2</v>
      </c>
      <c r="H164" s="6">
        <f>18/$H$3</f>
        <v>1.9758507135016465E-2</v>
      </c>
      <c r="J164">
        <v>6</v>
      </c>
      <c r="K164" s="6">
        <f>J164/J238</f>
        <v>1.3824884792626729E-2</v>
      </c>
      <c r="L164" s="6">
        <f>6/$L$3</f>
        <v>1.3824884792626729E-2</v>
      </c>
      <c r="N164">
        <v>3</v>
      </c>
      <c r="O164" s="6">
        <f>N164/N238</f>
        <v>3.7037037037037035E-2</v>
      </c>
      <c r="P164" s="6">
        <f>3/$P$3</f>
        <v>3.7037037037037035E-2</v>
      </c>
      <c r="R164">
        <v>26</v>
      </c>
      <c r="S164" s="6">
        <f>R164/R238</f>
        <v>4.642857142857143E-2</v>
      </c>
      <c r="T164" s="6">
        <f>26/$T$3</f>
        <v>4.642857142857143E-2</v>
      </c>
      <c r="V164">
        <v>20</v>
      </c>
      <c r="W164" s="6">
        <f>V164/V238</f>
        <v>3.7037037037037035E-2</v>
      </c>
      <c r="X164" s="6">
        <f>20/$X$3</f>
        <v>3.7037037037037035E-2</v>
      </c>
      <c r="Z164">
        <v>6</v>
      </c>
      <c r="AA164" s="6">
        <f>Z164/Z238</f>
        <v>5.3097345132743362E-2</v>
      </c>
      <c r="AB164" s="6">
        <f>6/$AB$3</f>
        <v>5.3097345132743362E-2</v>
      </c>
      <c r="AD164">
        <v>5</v>
      </c>
      <c r="AE164" s="6">
        <f>AD164/AD238</f>
        <v>2.5252525252525252E-2</v>
      </c>
      <c r="AF164" s="6">
        <f>5/$AF$3</f>
        <v>2.5252525252525252E-2</v>
      </c>
      <c r="AH164">
        <v>8</v>
      </c>
      <c r="AI164" s="6">
        <f>AH164/AH238</f>
        <v>3.2388663967611336E-2</v>
      </c>
      <c r="AJ164" s="6">
        <f>8/$AJ$3</f>
        <v>3.2388663967611336E-2</v>
      </c>
      <c r="AL164">
        <v>8</v>
      </c>
      <c r="AM164" s="6">
        <f>AL164/AL238</f>
        <v>3.4482758620689655E-2</v>
      </c>
      <c r="AN164" s="6">
        <f>8/$AN$3</f>
        <v>3.4482758620689655E-2</v>
      </c>
      <c r="AP164">
        <v>11</v>
      </c>
      <c r="AQ164" s="6">
        <f>AP164/AP238</f>
        <v>5.9139784946236562E-2</v>
      </c>
      <c r="AR164" s="6">
        <f>11/$AR$3</f>
        <v>5.9139784946236562E-2</v>
      </c>
      <c r="AT164">
        <v>8</v>
      </c>
      <c r="AU164" s="6">
        <f>AT164/AT238</f>
        <v>6.4516129032258063E-2</v>
      </c>
      <c r="AV164" s="6">
        <f>8/$AV$3</f>
        <v>6.4516129032258063E-2</v>
      </c>
      <c r="AX164">
        <v>16</v>
      </c>
      <c r="AY164" s="6">
        <f>AX164/AX238</f>
        <v>3.7209302325581395E-2</v>
      </c>
      <c r="AZ164" s="6">
        <f>16/$AZ$3</f>
        <v>3.7209302325581395E-2</v>
      </c>
      <c r="BB164">
        <v>17</v>
      </c>
      <c r="BC164" s="6">
        <f>BB164/BB238</f>
        <v>3.9719626168224297E-2</v>
      </c>
      <c r="BD164" s="6">
        <f>17/$BD$3</f>
        <v>3.9719626168224297E-2</v>
      </c>
      <c r="BF164">
        <v>13</v>
      </c>
      <c r="BG164" s="6">
        <f>BF164/BF238</f>
        <v>5.3719008264462811E-2</v>
      </c>
      <c r="BH164" s="6">
        <f>13/$BH$3</f>
        <v>5.3719008264462811E-2</v>
      </c>
      <c r="BJ164">
        <v>21</v>
      </c>
      <c r="BK164" s="6">
        <f>BJ164/BJ238</f>
        <v>5.2109181141439205E-2</v>
      </c>
      <c r="BL164" s="6">
        <f>21/$BL$3</f>
        <v>5.2109181141439205E-2</v>
      </c>
      <c r="BN164">
        <v>15</v>
      </c>
      <c r="BO164" s="6">
        <f>BN164/BN238</f>
        <v>3.5460992907801421E-2</v>
      </c>
      <c r="BP164" s="6">
        <f>15/$BP$3</f>
        <v>3.5460992907801421E-2</v>
      </c>
      <c r="BR164">
        <v>10</v>
      </c>
      <c r="BS164" s="6">
        <f>BR164/BR238</f>
        <v>3.6496350364963501E-2</v>
      </c>
      <c r="BT164" s="6">
        <f>10/$BT$3</f>
        <v>3.6496350364963501E-2</v>
      </c>
      <c r="BV164">
        <v>12</v>
      </c>
      <c r="BW164" s="6">
        <f>BV164/BV238</f>
        <v>3.9344262295081971E-2</v>
      </c>
      <c r="BX164" s="6">
        <f>12/$BX$3</f>
        <v>3.9344262295081971E-2</v>
      </c>
      <c r="BZ164">
        <v>10</v>
      </c>
      <c r="CA164" s="6">
        <f>BZ164/BZ238</f>
        <v>4.4642857142857144E-2</v>
      </c>
      <c r="CB164" s="6">
        <f>10/$CB$3</f>
        <v>4.4642857142857144E-2</v>
      </c>
      <c r="CD164">
        <v>10</v>
      </c>
      <c r="CE164" s="6">
        <f>CD164/CD238</f>
        <v>4.1493775933609957E-2</v>
      </c>
      <c r="CF164" s="6">
        <f>10/$CF$3</f>
        <v>4.1493775933609957E-2</v>
      </c>
      <c r="CH164">
        <v>14</v>
      </c>
      <c r="CI164" s="6">
        <f>CH164/CH238</f>
        <v>4.2424242424242427E-2</v>
      </c>
      <c r="CJ164" s="6">
        <f>14/$CJ$3</f>
        <v>4.2424242424242427E-2</v>
      </c>
    </row>
    <row r="166" spans="1:88" x14ac:dyDescent="0.35">
      <c r="A166" s="1" t="s">
        <v>502</v>
      </c>
      <c r="B166">
        <v>343</v>
      </c>
      <c r="C166" s="6">
        <f>B166/B238</f>
        <v>0.31181818181818183</v>
      </c>
      <c r="D166" s="6">
        <f>343/$D$3</f>
        <v>0.31181818181818183</v>
      </c>
      <c r="F166">
        <v>308</v>
      </c>
      <c r="G166" s="6">
        <f>F166/F238</f>
        <v>0.33809001097694841</v>
      </c>
      <c r="H166" s="6">
        <f>308/$H$3</f>
        <v>0.33809001097694841</v>
      </c>
      <c r="J166">
        <v>169</v>
      </c>
      <c r="K166" s="6">
        <f>J166/J238</f>
        <v>0.38940092165898615</v>
      </c>
      <c r="L166" s="9">
        <f>169/$L$3</f>
        <v>0.38940092165898615</v>
      </c>
      <c r="N166">
        <v>23</v>
      </c>
      <c r="O166" s="6">
        <f>N166/N238</f>
        <v>0.2839506172839506</v>
      </c>
      <c r="P166" s="6">
        <f>23/$P$3</f>
        <v>0.2839506172839506</v>
      </c>
      <c r="R166">
        <v>185</v>
      </c>
      <c r="S166" s="6">
        <f>R166/R238</f>
        <v>0.33035714285714285</v>
      </c>
      <c r="T166" s="6">
        <f>185/$T$3</f>
        <v>0.33035714285714285</v>
      </c>
      <c r="V166">
        <v>158</v>
      </c>
      <c r="W166" s="6">
        <f>V166/V238</f>
        <v>0.29259259259259257</v>
      </c>
      <c r="X166" s="6">
        <f>158/$X$3</f>
        <v>0.29259259259259257</v>
      </c>
      <c r="Z166">
        <v>47</v>
      </c>
      <c r="AA166" s="6">
        <f>Z166/Z238</f>
        <v>0.41592920353982299</v>
      </c>
      <c r="AB166" s="9">
        <f>47/$AB$3</f>
        <v>0.41592920353982299</v>
      </c>
      <c r="AC166" s="7"/>
      <c r="AD166">
        <v>65</v>
      </c>
      <c r="AE166" s="6">
        <f>AD166/AD238</f>
        <v>0.32828282828282829</v>
      </c>
      <c r="AF166" s="6">
        <f>65/$AF$3</f>
        <v>0.32828282828282829</v>
      </c>
      <c r="AG166" s="7"/>
      <c r="AH166">
        <v>87</v>
      </c>
      <c r="AI166" s="6">
        <f>AH166/AH238</f>
        <v>0.35222672064777327</v>
      </c>
      <c r="AJ166" s="6">
        <f>87/$AJ$3</f>
        <v>0.35222672064777327</v>
      </c>
      <c r="AK166" s="7"/>
      <c r="AL166">
        <v>79</v>
      </c>
      <c r="AM166" s="6">
        <f>AL166/AL238</f>
        <v>0.34051724137931033</v>
      </c>
      <c r="AN166" s="6">
        <f>79/$AN$3</f>
        <v>0.34051724137931033</v>
      </c>
      <c r="AO166" s="7"/>
      <c r="AP166">
        <v>51</v>
      </c>
      <c r="AQ166" s="6">
        <f>AP166/AP238</f>
        <v>0.27419354838709675</v>
      </c>
      <c r="AR166" s="6">
        <f>51/$AR$3</f>
        <v>0.27419354838709675</v>
      </c>
      <c r="AS166" s="7"/>
      <c r="AT166">
        <v>14</v>
      </c>
      <c r="AU166" s="6">
        <f>AT166/AT238</f>
        <v>0.11290322580645161</v>
      </c>
      <c r="AV166" s="8">
        <f>14/$AV$3</f>
        <v>0.11290322580645161</v>
      </c>
      <c r="AX166">
        <v>140</v>
      </c>
      <c r="AY166" s="6">
        <f>AX166/AX238</f>
        <v>0.32558139534883723</v>
      </c>
      <c r="AZ166" s="6">
        <f>140/$AZ$3</f>
        <v>0.32558139534883723</v>
      </c>
      <c r="BB166">
        <v>133</v>
      </c>
      <c r="BC166" s="6">
        <f>BB166/BB238</f>
        <v>0.31074766355140188</v>
      </c>
      <c r="BD166" s="6">
        <f>133/$BD$3</f>
        <v>0.31074766355140188</v>
      </c>
      <c r="BF166">
        <v>70</v>
      </c>
      <c r="BG166" s="6">
        <f>BF166/BF238</f>
        <v>0.28925619834710742</v>
      </c>
      <c r="BH166" s="6">
        <f>70/$BH$3</f>
        <v>0.28925619834710742</v>
      </c>
      <c r="BJ166">
        <v>115</v>
      </c>
      <c r="BK166" s="6">
        <f>BJ166/BJ238</f>
        <v>0.28535980148883372</v>
      </c>
      <c r="BL166" s="6">
        <f>115/$BL$3</f>
        <v>0.28535980148883372</v>
      </c>
      <c r="BN166">
        <v>129</v>
      </c>
      <c r="BO166" s="6">
        <f>BN166/BN238</f>
        <v>0.30496453900709219</v>
      </c>
      <c r="BP166" s="6">
        <f>129/$BP$3</f>
        <v>0.30496453900709219</v>
      </c>
      <c r="BR166">
        <v>99</v>
      </c>
      <c r="BS166" s="6">
        <f>BR166/BR238</f>
        <v>0.36131386861313869</v>
      </c>
      <c r="BT166" s="6">
        <f>99/$BT$3</f>
        <v>0.36131386861313869</v>
      </c>
      <c r="BV166">
        <v>105</v>
      </c>
      <c r="BW166" s="6">
        <f>BV166/BV238</f>
        <v>0.34426229508196721</v>
      </c>
      <c r="BX166" s="6">
        <f>105/$BX$3</f>
        <v>0.34426229508196721</v>
      </c>
      <c r="BZ166">
        <v>64</v>
      </c>
      <c r="CA166" s="6">
        <f>BZ166/BZ238</f>
        <v>0.2857142857142857</v>
      </c>
      <c r="CB166" s="6">
        <f>64/$CB$3</f>
        <v>0.2857142857142857</v>
      </c>
      <c r="CD166">
        <v>79</v>
      </c>
      <c r="CE166" s="6">
        <f>CD166/CD238</f>
        <v>0.32780082987551867</v>
      </c>
      <c r="CF166" s="6">
        <f>79/$CF$3</f>
        <v>0.32780082987551867</v>
      </c>
      <c r="CH166">
        <v>95</v>
      </c>
      <c r="CI166" s="6">
        <f>CH166/CH238</f>
        <v>0.2878787878787879</v>
      </c>
      <c r="CJ166" s="6">
        <f>95/$CJ$3</f>
        <v>0.2878787878787879</v>
      </c>
    </row>
    <row r="167" spans="1:88" x14ac:dyDescent="0.35">
      <c r="A167" s="1" t="s">
        <v>503</v>
      </c>
      <c r="B167">
        <v>455</v>
      </c>
      <c r="C167" s="6">
        <f>B167/B238</f>
        <v>0.41363636363636364</v>
      </c>
      <c r="D167" s="6">
        <f>455/$D$3</f>
        <v>0.41363636363636364</v>
      </c>
      <c r="F167">
        <v>379</v>
      </c>
      <c r="G167" s="6">
        <f>F167/F238</f>
        <v>0.41602634467618005</v>
      </c>
      <c r="H167" s="6">
        <f>379/$H$3</f>
        <v>0.41602634467618005</v>
      </c>
      <c r="J167">
        <v>182</v>
      </c>
      <c r="K167" s="6">
        <f>J167/J238</f>
        <v>0.41935483870967744</v>
      </c>
      <c r="L167" s="6">
        <f>182/$L$3</f>
        <v>0.41935483870967744</v>
      </c>
      <c r="N167">
        <v>36</v>
      </c>
      <c r="O167" s="6">
        <f>N167/N238</f>
        <v>0.44444444444444442</v>
      </c>
      <c r="P167" s="6">
        <f>36/$P$3</f>
        <v>0.44444444444444442</v>
      </c>
      <c r="R167">
        <v>228</v>
      </c>
      <c r="S167" s="6">
        <f>R167/R238</f>
        <v>0.40714285714285714</v>
      </c>
      <c r="T167" s="6">
        <f>228/$T$3</f>
        <v>0.40714285714285714</v>
      </c>
      <c r="V167">
        <v>227</v>
      </c>
      <c r="W167" s="6">
        <f>V167/V238</f>
        <v>0.42037037037037039</v>
      </c>
      <c r="X167" s="6">
        <f>227/$X$3</f>
        <v>0.42037037037037039</v>
      </c>
      <c r="Z167">
        <v>48</v>
      </c>
      <c r="AA167" s="6">
        <f>Z167/Z238</f>
        <v>0.4247787610619469</v>
      </c>
      <c r="AB167" s="6">
        <f>48/$AB$3</f>
        <v>0.4247787610619469</v>
      </c>
      <c r="AD167">
        <v>91</v>
      </c>
      <c r="AE167" s="6">
        <f>AD167/AD238</f>
        <v>0.45959595959595961</v>
      </c>
      <c r="AF167" s="6">
        <f>91/$AF$3</f>
        <v>0.45959595959595961</v>
      </c>
      <c r="AH167">
        <v>110</v>
      </c>
      <c r="AI167" s="6">
        <f>AH167/AH238</f>
        <v>0.44534412955465585</v>
      </c>
      <c r="AJ167" s="6">
        <f>110/$AJ$3</f>
        <v>0.44534412955465585</v>
      </c>
      <c r="AL167">
        <v>91</v>
      </c>
      <c r="AM167" s="6">
        <f>AL167/AL238</f>
        <v>0.39224137931034481</v>
      </c>
      <c r="AN167" s="6">
        <f>91/$AN$3</f>
        <v>0.39224137931034481</v>
      </c>
      <c r="AP167">
        <v>63</v>
      </c>
      <c r="AQ167" s="6">
        <f>AP167/AP238</f>
        <v>0.33870967741935482</v>
      </c>
      <c r="AR167" s="8">
        <f>63/$AR$3</f>
        <v>0.33870967741935482</v>
      </c>
      <c r="AT167">
        <v>52</v>
      </c>
      <c r="AU167" s="6">
        <f>AT167/AT238</f>
        <v>0.41935483870967744</v>
      </c>
      <c r="AV167" s="6">
        <f>52/$AV$3</f>
        <v>0.41935483870967744</v>
      </c>
      <c r="AX167">
        <v>176</v>
      </c>
      <c r="AY167" s="6">
        <f>AX167/AX238</f>
        <v>0.40930232558139534</v>
      </c>
      <c r="AZ167" s="6">
        <f>176/$AZ$3</f>
        <v>0.40930232558139534</v>
      </c>
      <c r="BB167">
        <v>181</v>
      </c>
      <c r="BC167" s="6">
        <f>BB167/BB238</f>
        <v>0.42289719626168226</v>
      </c>
      <c r="BD167" s="6">
        <f>181/$BD$3</f>
        <v>0.42289719626168226</v>
      </c>
      <c r="BF167">
        <v>98</v>
      </c>
      <c r="BG167" s="6">
        <f>BF167/BF238</f>
        <v>0.4049586776859504</v>
      </c>
      <c r="BH167" s="6">
        <f>98/$BH$3</f>
        <v>0.4049586776859504</v>
      </c>
      <c r="BJ167">
        <v>178</v>
      </c>
      <c r="BK167" s="6">
        <f>BJ167/BJ238</f>
        <v>0.44168734491315137</v>
      </c>
      <c r="BL167" s="6">
        <f>178/$BL$3</f>
        <v>0.44168734491315137</v>
      </c>
      <c r="BN167">
        <v>168</v>
      </c>
      <c r="BO167" s="6">
        <f>BN167/BN238</f>
        <v>0.3971631205673759</v>
      </c>
      <c r="BP167" s="6">
        <f>168/$BP$3</f>
        <v>0.3971631205673759</v>
      </c>
      <c r="BR167">
        <v>109</v>
      </c>
      <c r="BS167" s="6">
        <f>BR167/BR238</f>
        <v>0.3978102189781022</v>
      </c>
      <c r="BT167" s="6">
        <f>109/$BT$3</f>
        <v>0.3978102189781022</v>
      </c>
      <c r="BV167">
        <v>119</v>
      </c>
      <c r="BW167" s="6">
        <f>BV167/BV238</f>
        <v>0.39016393442622949</v>
      </c>
      <c r="BX167" s="6">
        <f>119/$BX$3</f>
        <v>0.39016393442622949</v>
      </c>
      <c r="BZ167">
        <v>113</v>
      </c>
      <c r="CA167" s="6">
        <f>BZ167/BZ238</f>
        <v>0.5044642857142857</v>
      </c>
      <c r="CB167" s="9">
        <f>113/$CB$3</f>
        <v>0.5044642857142857</v>
      </c>
      <c r="CD167">
        <v>92</v>
      </c>
      <c r="CE167" s="6">
        <f>CD167/CD238</f>
        <v>0.38174273858921159</v>
      </c>
      <c r="CF167" s="6">
        <f>92/$CF$3</f>
        <v>0.38174273858921159</v>
      </c>
      <c r="CH167">
        <v>131</v>
      </c>
      <c r="CI167" s="6">
        <f>CH167/CH238</f>
        <v>0.39696969696969697</v>
      </c>
      <c r="CJ167" s="6">
        <f>131/$CJ$3</f>
        <v>0.39696969696969697</v>
      </c>
    </row>
    <row r="168" spans="1:88" x14ac:dyDescent="0.35">
      <c r="A168" s="1" t="s">
        <v>504</v>
      </c>
      <c r="B168">
        <v>168</v>
      </c>
      <c r="C168" s="6">
        <f>B168/B238</f>
        <v>0.15272727272727274</v>
      </c>
      <c r="D168" s="6">
        <f>168/$D$3</f>
        <v>0.15272727272727274</v>
      </c>
      <c r="F168">
        <v>136</v>
      </c>
      <c r="G168" s="6">
        <f>F168/F238</f>
        <v>0.14928649835345773</v>
      </c>
      <c r="H168" s="6">
        <f>136/$H$3</f>
        <v>0.14928649835345773</v>
      </c>
      <c r="J168">
        <v>61</v>
      </c>
      <c r="K168" s="6">
        <f>J168/J238</f>
        <v>0.14055299539170507</v>
      </c>
      <c r="L168" s="6">
        <f>61/$L$3</f>
        <v>0.14055299539170507</v>
      </c>
      <c r="N168">
        <v>14</v>
      </c>
      <c r="O168" s="6">
        <f>N168/N238</f>
        <v>0.1728395061728395</v>
      </c>
      <c r="P168" s="6">
        <f>14/$P$3</f>
        <v>0.1728395061728395</v>
      </c>
      <c r="R168">
        <v>78</v>
      </c>
      <c r="S168" s="6">
        <f>R168/R238</f>
        <v>0.13928571428571429</v>
      </c>
      <c r="T168" s="6">
        <f>78/$T$3</f>
        <v>0.13928571428571429</v>
      </c>
      <c r="V168">
        <v>90</v>
      </c>
      <c r="W168" s="6">
        <f>V168/V238</f>
        <v>0.16666666666666666</v>
      </c>
      <c r="X168" s="6">
        <f>90/$X$3</f>
        <v>0.16666666666666666</v>
      </c>
      <c r="Z168">
        <v>13</v>
      </c>
      <c r="AA168" s="6">
        <f>Z168/Z238</f>
        <v>0.11504424778761062</v>
      </c>
      <c r="AB168" s="6">
        <f>13/$AB$3</f>
        <v>0.11504424778761062</v>
      </c>
      <c r="AD168">
        <v>27</v>
      </c>
      <c r="AE168" s="6">
        <f>AD168/AD238</f>
        <v>0.13636363636363635</v>
      </c>
      <c r="AF168" s="6">
        <f>27/$AF$3</f>
        <v>0.13636363636363635</v>
      </c>
      <c r="AH168">
        <v>31</v>
      </c>
      <c r="AI168" s="6">
        <f>AH168/AH238</f>
        <v>0.12550607287449392</v>
      </c>
      <c r="AJ168" s="6">
        <f>31/$AJ$3</f>
        <v>0.12550607287449392</v>
      </c>
      <c r="AL168">
        <v>35</v>
      </c>
      <c r="AM168" s="6">
        <f>AL168/AL238</f>
        <v>0.15086206896551724</v>
      </c>
      <c r="AN168" s="6">
        <f>35/$AN$3</f>
        <v>0.15086206896551724</v>
      </c>
      <c r="AP168">
        <v>32</v>
      </c>
      <c r="AQ168" s="6">
        <f>AP168/AP238</f>
        <v>0.17204301075268819</v>
      </c>
      <c r="AR168" s="6">
        <f>32/$AR$3</f>
        <v>0.17204301075268819</v>
      </c>
      <c r="AT168">
        <v>30</v>
      </c>
      <c r="AU168" s="6">
        <f>AT168/AT238</f>
        <v>0.24193548387096775</v>
      </c>
      <c r="AV168" s="9">
        <f>30/$AV$3</f>
        <v>0.24193548387096775</v>
      </c>
      <c r="AX168">
        <v>65</v>
      </c>
      <c r="AY168" s="6">
        <f>AX168/AX238</f>
        <v>0.15116279069767441</v>
      </c>
      <c r="AZ168" s="6">
        <f>65/$AZ$3</f>
        <v>0.15116279069767441</v>
      </c>
      <c r="BB168">
        <v>68</v>
      </c>
      <c r="BC168" s="6">
        <f>BB168/BB238</f>
        <v>0.15887850467289719</v>
      </c>
      <c r="BD168" s="6">
        <f>68/$BD$3</f>
        <v>0.15887850467289719</v>
      </c>
      <c r="BF168">
        <v>35</v>
      </c>
      <c r="BG168" s="6">
        <f>BF168/BF238</f>
        <v>0.14462809917355371</v>
      </c>
      <c r="BH168" s="6">
        <f>35/$BH$3</f>
        <v>0.14462809917355371</v>
      </c>
      <c r="BJ168">
        <v>59</v>
      </c>
      <c r="BK168" s="6">
        <f>BJ168/BJ238</f>
        <v>0.14640198511166252</v>
      </c>
      <c r="BL168" s="6">
        <f>59/$BL$3</f>
        <v>0.14640198511166252</v>
      </c>
      <c r="BN168">
        <v>77</v>
      </c>
      <c r="BO168" s="6">
        <f>BN168/BN238</f>
        <v>0.18203309692671396</v>
      </c>
      <c r="BP168" s="6">
        <f>77/$BP$3</f>
        <v>0.18203309692671396</v>
      </c>
      <c r="BR168">
        <v>32</v>
      </c>
      <c r="BS168" s="6">
        <f>BR168/BR238</f>
        <v>0.11678832116788321</v>
      </c>
      <c r="BT168" s="6">
        <f>32/$BT$3</f>
        <v>0.11678832116788321</v>
      </c>
      <c r="BV168">
        <v>46</v>
      </c>
      <c r="BW168" s="6">
        <f>BV168/BV238</f>
        <v>0.15081967213114755</v>
      </c>
      <c r="BX168" s="6">
        <f>46/$BX$3</f>
        <v>0.15081967213114755</v>
      </c>
      <c r="BZ168">
        <v>24</v>
      </c>
      <c r="CA168" s="6">
        <f>BZ168/BZ238</f>
        <v>0.10714285714285714</v>
      </c>
      <c r="CB168" s="6">
        <f>24/$CB$3</f>
        <v>0.10714285714285714</v>
      </c>
      <c r="CD168">
        <v>36</v>
      </c>
      <c r="CE168" s="6">
        <f>CD168/CD238</f>
        <v>0.14937759336099585</v>
      </c>
      <c r="CF168" s="6">
        <f>36/$CF$3</f>
        <v>0.14937759336099585</v>
      </c>
      <c r="CH168">
        <v>62</v>
      </c>
      <c r="CI168" s="6">
        <f>CH168/CH238</f>
        <v>0.18787878787878787</v>
      </c>
      <c r="CJ168" s="6">
        <f>62/$CJ$3</f>
        <v>0.18787878787878787</v>
      </c>
    </row>
    <row r="169" spans="1:88" x14ac:dyDescent="0.35">
      <c r="A169" s="1" t="s">
        <v>505</v>
      </c>
      <c r="B169">
        <v>134</v>
      </c>
      <c r="C169" s="6">
        <f>B169/B238</f>
        <v>0.12181818181818181</v>
      </c>
      <c r="D169" s="6">
        <f>134/$D$3</f>
        <v>0.12181818181818181</v>
      </c>
      <c r="F169">
        <v>88</v>
      </c>
      <c r="G169" s="6">
        <f>F169/F238</f>
        <v>9.6597145993413833E-2</v>
      </c>
      <c r="H169" s="6">
        <f>88/$H$3</f>
        <v>9.6597145993413833E-2</v>
      </c>
      <c r="J169">
        <v>22</v>
      </c>
      <c r="K169" s="6">
        <f>J169/J238</f>
        <v>5.0691244239631339E-2</v>
      </c>
      <c r="L169" s="8">
        <f>22/$L$3</f>
        <v>5.0691244239631339E-2</v>
      </c>
      <c r="N169">
        <v>8</v>
      </c>
      <c r="O169" s="6">
        <f>N169/N238</f>
        <v>9.8765432098765427E-2</v>
      </c>
      <c r="P169" s="6">
        <f>8/$P$3</f>
        <v>9.8765432098765427E-2</v>
      </c>
      <c r="R169">
        <v>69</v>
      </c>
      <c r="S169" s="6">
        <f>R169/R238</f>
        <v>0.12321428571428572</v>
      </c>
      <c r="T169" s="6">
        <f>69/$T$3</f>
        <v>0.12321428571428572</v>
      </c>
      <c r="V169">
        <v>65</v>
      </c>
      <c r="W169" s="6">
        <f>V169/V238</f>
        <v>0.12037037037037036</v>
      </c>
      <c r="X169" s="6">
        <f>65/$X$3</f>
        <v>0.12037037037037036</v>
      </c>
      <c r="Z169">
        <v>5</v>
      </c>
      <c r="AA169" s="6">
        <f>Z169/Z238</f>
        <v>4.4247787610619468E-2</v>
      </c>
      <c r="AB169" s="8">
        <f>5/$AB$3</f>
        <v>4.4247787610619468E-2</v>
      </c>
      <c r="AD169">
        <v>15</v>
      </c>
      <c r="AE169" s="6">
        <f>AD169/AD238</f>
        <v>7.575757575757576E-2</v>
      </c>
      <c r="AF169" s="6">
        <f>15/$AF$3</f>
        <v>7.575757575757576E-2</v>
      </c>
      <c r="AH169">
        <v>19</v>
      </c>
      <c r="AI169" s="6">
        <f>AH169/AH238</f>
        <v>7.6923076923076927E-2</v>
      </c>
      <c r="AJ169" s="6">
        <f>19/$AJ$3</f>
        <v>7.6923076923076927E-2</v>
      </c>
      <c r="AL169">
        <v>27</v>
      </c>
      <c r="AM169" s="6">
        <f>AL169/AL238</f>
        <v>0.11637931034482758</v>
      </c>
      <c r="AN169" s="6">
        <f>27/$AN$3</f>
        <v>0.11637931034482758</v>
      </c>
      <c r="AP169">
        <v>40</v>
      </c>
      <c r="AQ169" s="6">
        <f>AP169/AP238</f>
        <v>0.21505376344086022</v>
      </c>
      <c r="AR169" s="9">
        <f>40/$AR$3</f>
        <v>0.21505376344086022</v>
      </c>
      <c r="AS169" s="7"/>
      <c r="AT169">
        <v>28</v>
      </c>
      <c r="AU169" s="6">
        <f>AT169/AT238</f>
        <v>0.22580645161290322</v>
      </c>
      <c r="AV169" s="9">
        <f>28/$AV$3</f>
        <v>0.22580645161290322</v>
      </c>
      <c r="AW169" s="7"/>
      <c r="AX169">
        <v>49</v>
      </c>
      <c r="AY169" s="6">
        <f>AX169/AX238</f>
        <v>0.11395348837209303</v>
      </c>
      <c r="AZ169" s="6">
        <f>49/$AZ$3</f>
        <v>0.11395348837209303</v>
      </c>
      <c r="BB169">
        <v>46</v>
      </c>
      <c r="BC169" s="6">
        <f>BB169/BB238</f>
        <v>0.10747663551401869</v>
      </c>
      <c r="BD169" s="6">
        <f>46/$BD$3</f>
        <v>0.10747663551401869</v>
      </c>
      <c r="BF169">
        <v>39</v>
      </c>
      <c r="BG169" s="6">
        <f>BF169/BF238</f>
        <v>0.16115702479338842</v>
      </c>
      <c r="BH169" s="6">
        <f>39/$BH$3</f>
        <v>0.16115702479338842</v>
      </c>
      <c r="BJ169">
        <v>51</v>
      </c>
      <c r="BK169" s="6">
        <f>BJ169/BJ238</f>
        <v>0.12655086848635236</v>
      </c>
      <c r="BL169" s="6">
        <f>51/$BL$3</f>
        <v>0.12655086848635236</v>
      </c>
      <c r="BN169">
        <v>49</v>
      </c>
      <c r="BO169" s="6">
        <f>BN169/BN238</f>
        <v>0.11583924349881797</v>
      </c>
      <c r="BP169" s="6">
        <f>49/$BP$3</f>
        <v>0.11583924349881797</v>
      </c>
      <c r="BR169">
        <v>34</v>
      </c>
      <c r="BS169" s="6">
        <f>BR169/BR238</f>
        <v>0.12408759124087591</v>
      </c>
      <c r="BT169" s="6">
        <f>34/$BT$3</f>
        <v>0.12408759124087591</v>
      </c>
      <c r="BV169">
        <v>35</v>
      </c>
      <c r="BW169" s="6">
        <f>BV169/BV238</f>
        <v>0.11475409836065574</v>
      </c>
      <c r="BX169" s="6">
        <f>35/$BX$3</f>
        <v>0.11475409836065574</v>
      </c>
      <c r="BZ169">
        <v>23</v>
      </c>
      <c r="CA169" s="6">
        <f>BZ169/BZ238</f>
        <v>0.10267857142857142</v>
      </c>
      <c r="CB169" s="6">
        <f>23/$CB$3</f>
        <v>0.10267857142857142</v>
      </c>
      <c r="CD169">
        <v>34</v>
      </c>
      <c r="CE169" s="6">
        <f>CD169/CD238</f>
        <v>0.14107883817427386</v>
      </c>
      <c r="CF169" s="6">
        <f>34/$CF$3</f>
        <v>0.14107883817427386</v>
      </c>
      <c r="CH169">
        <v>42</v>
      </c>
      <c r="CI169" s="6">
        <f>CH169/CH238</f>
        <v>0.12727272727272726</v>
      </c>
      <c r="CJ169" s="6">
        <f>42/$CJ$3</f>
        <v>0.12727272727272726</v>
      </c>
    </row>
    <row r="171" spans="1:88" x14ac:dyDescent="0.35">
      <c r="A171" s="1" t="s">
        <v>506</v>
      </c>
      <c r="B171">
        <v>325</v>
      </c>
      <c r="C171" s="6">
        <f>B171/B238</f>
        <v>0.29545454545454547</v>
      </c>
      <c r="D171" s="6">
        <f>325/$D$3</f>
        <v>0.29545454545454547</v>
      </c>
      <c r="F171">
        <v>289</v>
      </c>
      <c r="G171" s="6">
        <f>F171/F238</f>
        <v>0.31723380900109771</v>
      </c>
      <c r="H171" s="6">
        <f>289/$H$3</f>
        <v>0.31723380900109771</v>
      </c>
      <c r="J171">
        <v>148</v>
      </c>
      <c r="K171" s="6">
        <f>J171/J238</f>
        <v>0.34101382488479265</v>
      </c>
      <c r="L171" s="6">
        <f>148/$L$3</f>
        <v>0.34101382488479265</v>
      </c>
      <c r="N171">
        <v>24</v>
      </c>
      <c r="O171" s="6">
        <f>N171/N238</f>
        <v>0.29629629629629628</v>
      </c>
      <c r="P171" s="6">
        <f>24/$P$3</f>
        <v>0.29629629629629628</v>
      </c>
      <c r="R171">
        <v>174</v>
      </c>
      <c r="S171" s="6">
        <f>R171/R238</f>
        <v>0.31071428571428572</v>
      </c>
      <c r="T171" s="6">
        <f>174/$T$3</f>
        <v>0.31071428571428572</v>
      </c>
      <c r="V171">
        <v>151</v>
      </c>
      <c r="W171" s="6">
        <f>V171/V238</f>
        <v>0.27962962962962962</v>
      </c>
      <c r="X171" s="6">
        <f>151/$X$3</f>
        <v>0.27962962962962962</v>
      </c>
      <c r="Z171">
        <v>40</v>
      </c>
      <c r="AA171" s="6">
        <f>Z171/Z238</f>
        <v>0.35398230088495575</v>
      </c>
      <c r="AB171" s="6">
        <f>40/$AB$3</f>
        <v>0.35398230088495575</v>
      </c>
      <c r="AD171">
        <v>62</v>
      </c>
      <c r="AE171" s="6">
        <f>AD171/AD238</f>
        <v>0.31313131313131315</v>
      </c>
      <c r="AF171" s="6">
        <f>62/$AF$3</f>
        <v>0.31313131313131315</v>
      </c>
      <c r="AH171">
        <v>76</v>
      </c>
      <c r="AI171" s="6">
        <f>AH171/AH238</f>
        <v>0.30769230769230771</v>
      </c>
      <c r="AJ171" s="6">
        <f>76/$AJ$3</f>
        <v>0.30769230769230771</v>
      </c>
      <c r="AL171">
        <v>75</v>
      </c>
      <c r="AM171" s="6">
        <f>AL171/AL238</f>
        <v>0.32327586206896552</v>
      </c>
      <c r="AN171" s="6">
        <f>75/$AN$3</f>
        <v>0.32327586206896552</v>
      </c>
      <c r="AP171">
        <v>47</v>
      </c>
      <c r="AQ171" s="6">
        <f>AP171/AP238</f>
        <v>0.25268817204301075</v>
      </c>
      <c r="AR171" s="6">
        <f>47/$AR$3</f>
        <v>0.25268817204301075</v>
      </c>
      <c r="AT171">
        <v>25</v>
      </c>
      <c r="AU171" s="6">
        <f>AT171/AT238</f>
        <v>0.20161290322580644</v>
      </c>
      <c r="AV171" s="8">
        <f>25/$AV$3</f>
        <v>0.20161290322580644</v>
      </c>
      <c r="AX171">
        <v>140</v>
      </c>
      <c r="AY171" s="6">
        <f>AX171/AX238</f>
        <v>0.32558139534883723</v>
      </c>
      <c r="AZ171" s="6">
        <f>140/$AZ$3</f>
        <v>0.32558139534883723</v>
      </c>
      <c r="BB171">
        <v>129</v>
      </c>
      <c r="BC171" s="6">
        <f>BB171/BB238</f>
        <v>0.30140186915887851</v>
      </c>
      <c r="BD171" s="6">
        <f>129/$BD$3</f>
        <v>0.30140186915887851</v>
      </c>
      <c r="BF171">
        <v>56</v>
      </c>
      <c r="BG171" s="6">
        <f>BF171/BF238</f>
        <v>0.23140495867768596</v>
      </c>
      <c r="BH171" s="8">
        <f>56/$BH$3</f>
        <v>0.23140495867768596</v>
      </c>
      <c r="BJ171">
        <v>113</v>
      </c>
      <c r="BK171" s="6">
        <f>BJ171/BJ238</f>
        <v>0.28039702233250619</v>
      </c>
      <c r="BL171" s="6">
        <f>113/$BL$3</f>
        <v>0.28039702233250619</v>
      </c>
      <c r="BN171">
        <v>127</v>
      </c>
      <c r="BO171" s="6">
        <f>BN171/BN238</f>
        <v>0.30023640661938533</v>
      </c>
      <c r="BP171" s="6">
        <f>127/$BP$3</f>
        <v>0.30023640661938533</v>
      </c>
      <c r="BR171">
        <v>85</v>
      </c>
      <c r="BS171" s="6">
        <f>BR171/BR238</f>
        <v>0.31021897810218979</v>
      </c>
      <c r="BT171" s="6">
        <f>85/$BT$3</f>
        <v>0.31021897810218979</v>
      </c>
      <c r="BV171">
        <v>91</v>
      </c>
      <c r="BW171" s="6">
        <f>BV171/BV238</f>
        <v>0.29836065573770493</v>
      </c>
      <c r="BX171" s="6">
        <f>91/$BX$3</f>
        <v>0.29836065573770493</v>
      </c>
      <c r="BZ171">
        <v>68</v>
      </c>
      <c r="CA171" s="6">
        <f>BZ171/BZ238</f>
        <v>0.30357142857142855</v>
      </c>
      <c r="CB171" s="6">
        <f>68/$CB$3</f>
        <v>0.30357142857142855</v>
      </c>
      <c r="CD171">
        <v>74</v>
      </c>
      <c r="CE171" s="6">
        <f>CD171/CD238</f>
        <v>0.30705394190871371</v>
      </c>
      <c r="CF171" s="6">
        <f>74/$CF$3</f>
        <v>0.30705394190871371</v>
      </c>
      <c r="CH171">
        <v>92</v>
      </c>
      <c r="CI171" s="6">
        <f>CH171/CH238</f>
        <v>0.27878787878787881</v>
      </c>
      <c r="CJ171" s="6">
        <f>92/$CJ$3</f>
        <v>0.27878787878787881</v>
      </c>
    </row>
    <row r="172" spans="1:88" x14ac:dyDescent="0.35">
      <c r="A172" s="1" t="s">
        <v>507</v>
      </c>
      <c r="B172">
        <v>501</v>
      </c>
      <c r="C172" s="6">
        <f>B172/B238</f>
        <v>0.45545454545454545</v>
      </c>
      <c r="D172" s="6">
        <f>501/$D$3</f>
        <v>0.45545454545454545</v>
      </c>
      <c r="F172">
        <v>425</v>
      </c>
      <c r="G172" s="6">
        <f>F172/F238</f>
        <v>0.46652030735455541</v>
      </c>
      <c r="H172" s="6">
        <f>425/$H$3</f>
        <v>0.46652030735455541</v>
      </c>
      <c r="J172">
        <v>185</v>
      </c>
      <c r="K172" s="6">
        <f>J172/J238</f>
        <v>0.42626728110599077</v>
      </c>
      <c r="L172" s="6">
        <f>185/$L$3</f>
        <v>0.42626728110599077</v>
      </c>
      <c r="N172">
        <v>34</v>
      </c>
      <c r="O172" s="6">
        <f>N172/N238</f>
        <v>0.41975308641975306</v>
      </c>
      <c r="P172" s="6">
        <f>34/$P$3</f>
        <v>0.41975308641975306</v>
      </c>
      <c r="R172">
        <v>241</v>
      </c>
      <c r="S172" s="6">
        <f>R172/R238</f>
        <v>0.43035714285714288</v>
      </c>
      <c r="T172" s="6">
        <f>241/$T$3</f>
        <v>0.43035714285714288</v>
      </c>
      <c r="V172">
        <v>260</v>
      </c>
      <c r="W172" s="6">
        <f>V172/V238</f>
        <v>0.48148148148148145</v>
      </c>
      <c r="X172" s="6">
        <f>260/$X$3</f>
        <v>0.48148148148148145</v>
      </c>
      <c r="Z172">
        <v>47</v>
      </c>
      <c r="AA172" s="6">
        <f>Z172/Z238</f>
        <v>0.41592920353982299</v>
      </c>
      <c r="AB172" s="6">
        <f>47/$AB$3</f>
        <v>0.41592920353982299</v>
      </c>
      <c r="AD172">
        <v>94</v>
      </c>
      <c r="AE172" s="6">
        <f>AD172/AD238</f>
        <v>0.47474747474747475</v>
      </c>
      <c r="AF172" s="6">
        <f>94/$AF$3</f>
        <v>0.47474747474747475</v>
      </c>
      <c r="AH172">
        <v>114</v>
      </c>
      <c r="AI172" s="6">
        <f>AH172/AH238</f>
        <v>0.46153846153846156</v>
      </c>
      <c r="AJ172" s="6">
        <f>114/$AJ$3</f>
        <v>0.46153846153846156</v>
      </c>
      <c r="AL172">
        <v>101</v>
      </c>
      <c r="AM172" s="6">
        <f>AL172/AL238</f>
        <v>0.43534482758620691</v>
      </c>
      <c r="AN172" s="6">
        <f>101/$AN$3</f>
        <v>0.43534482758620691</v>
      </c>
      <c r="AP172">
        <v>87</v>
      </c>
      <c r="AQ172" s="6">
        <f>AP172/AP238</f>
        <v>0.46774193548387094</v>
      </c>
      <c r="AR172" s="6">
        <f>87/$AR$3</f>
        <v>0.46774193548387094</v>
      </c>
      <c r="AT172">
        <v>58</v>
      </c>
      <c r="AU172" s="6">
        <f>AT172/AT238</f>
        <v>0.46774193548387094</v>
      </c>
      <c r="AV172" s="6">
        <f>58/$AV$3</f>
        <v>0.46774193548387094</v>
      </c>
      <c r="AX172">
        <v>186</v>
      </c>
      <c r="AY172" s="6">
        <f>AX172/AX238</f>
        <v>0.4325581395348837</v>
      </c>
      <c r="AZ172" s="6">
        <f>186/$AZ$3</f>
        <v>0.4325581395348837</v>
      </c>
      <c r="BB172">
        <v>183</v>
      </c>
      <c r="BC172" s="6">
        <f>BB172/BB238</f>
        <v>0.42757009345794394</v>
      </c>
      <c r="BD172" s="6">
        <f>183/$BD$3</f>
        <v>0.42757009345794394</v>
      </c>
      <c r="BF172">
        <v>132</v>
      </c>
      <c r="BG172" s="6">
        <f>BF172/BF238</f>
        <v>0.54545454545454541</v>
      </c>
      <c r="BH172" s="9">
        <f>132/$BH$3</f>
        <v>0.54545454545454541</v>
      </c>
      <c r="BI172" s="7" t="s">
        <v>408</v>
      </c>
      <c r="BJ172">
        <v>177</v>
      </c>
      <c r="BK172" s="6">
        <f>BJ172/BJ238</f>
        <v>0.43920595533498757</v>
      </c>
      <c r="BL172" s="6">
        <f>177/$BL$3</f>
        <v>0.43920595533498757</v>
      </c>
      <c r="BN172">
        <v>204</v>
      </c>
      <c r="BO172" s="6">
        <f>BN172/BN238</f>
        <v>0.48226950354609927</v>
      </c>
      <c r="BP172" s="6">
        <f>204/$BP$3</f>
        <v>0.48226950354609927</v>
      </c>
      <c r="BR172">
        <v>120</v>
      </c>
      <c r="BS172" s="6">
        <f>BR172/BR238</f>
        <v>0.43795620437956206</v>
      </c>
      <c r="BT172" s="6">
        <f>120/$BT$3</f>
        <v>0.43795620437956206</v>
      </c>
      <c r="BV172">
        <v>142</v>
      </c>
      <c r="BW172" s="6">
        <f>BV172/BV238</f>
        <v>0.46557377049180326</v>
      </c>
      <c r="BX172" s="6">
        <f>142/$BX$3</f>
        <v>0.46557377049180326</v>
      </c>
      <c r="BZ172">
        <v>108</v>
      </c>
      <c r="CA172" s="6">
        <f>BZ172/BZ238</f>
        <v>0.48214285714285715</v>
      </c>
      <c r="CB172" s="6">
        <f>108/$CB$3</f>
        <v>0.48214285714285715</v>
      </c>
      <c r="CD172">
        <v>97</v>
      </c>
      <c r="CE172" s="6">
        <f>CD172/CD238</f>
        <v>0.40248962655601661</v>
      </c>
      <c r="CF172" s="6">
        <f>97/$CF$3</f>
        <v>0.40248962655601661</v>
      </c>
      <c r="CH172">
        <v>154</v>
      </c>
      <c r="CI172" s="6">
        <f>CH172/CH238</f>
        <v>0.46666666666666667</v>
      </c>
      <c r="CJ172" s="6">
        <f>154/$CJ$3</f>
        <v>0.46666666666666667</v>
      </c>
    </row>
    <row r="173" spans="1:88" x14ac:dyDescent="0.35">
      <c r="A173" s="1" t="s">
        <v>508</v>
      </c>
      <c r="B173">
        <v>184</v>
      </c>
      <c r="C173" s="6">
        <f>B173/B238</f>
        <v>0.16727272727272727</v>
      </c>
      <c r="D173" s="6">
        <f>184/$D$3</f>
        <v>0.16727272727272727</v>
      </c>
      <c r="F173">
        <v>146</v>
      </c>
      <c r="G173" s="6">
        <f>F173/F238</f>
        <v>0.16026344676180021</v>
      </c>
      <c r="H173" s="6">
        <f>146/$H$3</f>
        <v>0.16026344676180021</v>
      </c>
      <c r="J173">
        <v>81</v>
      </c>
      <c r="K173" s="6">
        <f>J173/J238</f>
        <v>0.18663594470046083</v>
      </c>
      <c r="L173" s="6">
        <f>81/$L$3</f>
        <v>0.18663594470046083</v>
      </c>
      <c r="N173">
        <v>17</v>
      </c>
      <c r="O173" s="6">
        <f>N173/N238</f>
        <v>0.20987654320987653</v>
      </c>
      <c r="P173" s="6">
        <f>17/$P$3</f>
        <v>0.20987654320987653</v>
      </c>
      <c r="R173">
        <v>96</v>
      </c>
      <c r="S173" s="6">
        <f>R173/R238</f>
        <v>0.17142857142857143</v>
      </c>
      <c r="T173" s="6">
        <f>96/$T$3</f>
        <v>0.17142857142857143</v>
      </c>
      <c r="V173">
        <v>88</v>
      </c>
      <c r="W173" s="6">
        <f>V173/V238</f>
        <v>0.16296296296296298</v>
      </c>
      <c r="X173" s="6">
        <f>88/$X$3</f>
        <v>0.16296296296296298</v>
      </c>
      <c r="Z173">
        <v>14</v>
      </c>
      <c r="AA173" s="6">
        <f>Z173/Z238</f>
        <v>0.12389380530973451</v>
      </c>
      <c r="AB173" s="6">
        <f>14/$AB$3</f>
        <v>0.12389380530973451</v>
      </c>
      <c r="AD173">
        <v>34</v>
      </c>
      <c r="AE173" s="6">
        <f>AD173/AD238</f>
        <v>0.17171717171717171</v>
      </c>
      <c r="AF173" s="6">
        <f>34/$AF$3</f>
        <v>0.17171717171717171</v>
      </c>
      <c r="AH173">
        <v>39</v>
      </c>
      <c r="AI173" s="6">
        <f>AH173/AH238</f>
        <v>0.15789473684210525</v>
      </c>
      <c r="AJ173" s="6">
        <f>39/$AJ$3</f>
        <v>0.15789473684210525</v>
      </c>
      <c r="AL173">
        <v>38</v>
      </c>
      <c r="AM173" s="6">
        <f>AL173/AL238</f>
        <v>0.16379310344827586</v>
      </c>
      <c r="AN173" s="6">
        <f>38/$AN$3</f>
        <v>0.16379310344827586</v>
      </c>
      <c r="AP173">
        <v>34</v>
      </c>
      <c r="AQ173" s="6">
        <f>AP173/AP238</f>
        <v>0.18279569892473119</v>
      </c>
      <c r="AR173" s="6">
        <f>34/$AR$3</f>
        <v>0.18279569892473119</v>
      </c>
      <c r="AT173">
        <v>25</v>
      </c>
      <c r="AU173" s="6">
        <f>AT173/AT238</f>
        <v>0.20161290322580644</v>
      </c>
      <c r="AV173" s="6">
        <f>25/$AV$3</f>
        <v>0.20161290322580644</v>
      </c>
      <c r="AX173">
        <v>67</v>
      </c>
      <c r="AY173" s="6">
        <f>AX173/AX238</f>
        <v>0.1558139534883721</v>
      </c>
      <c r="AZ173" s="6">
        <f>67/$AZ$3</f>
        <v>0.1558139534883721</v>
      </c>
      <c r="BB173">
        <v>86</v>
      </c>
      <c r="BC173" s="6">
        <f>BB173/BB238</f>
        <v>0.20093457943925233</v>
      </c>
      <c r="BD173" s="6">
        <f>86/$BD$3</f>
        <v>0.20093457943925233</v>
      </c>
      <c r="BF173">
        <v>31</v>
      </c>
      <c r="BG173" s="6">
        <f>BF173/BF238</f>
        <v>0.128099173553719</v>
      </c>
      <c r="BH173" s="6">
        <f>31/$BH$3</f>
        <v>0.128099173553719</v>
      </c>
      <c r="BJ173">
        <v>72</v>
      </c>
      <c r="BK173" s="6">
        <f>BJ173/BJ238</f>
        <v>0.17866004962779156</v>
      </c>
      <c r="BL173" s="6">
        <f>72/$BL$3</f>
        <v>0.17866004962779156</v>
      </c>
      <c r="BN173">
        <v>63</v>
      </c>
      <c r="BO173" s="6">
        <f>BN173/BN238</f>
        <v>0.14893617021276595</v>
      </c>
      <c r="BP173" s="6">
        <f>63/$BP$3</f>
        <v>0.14893617021276595</v>
      </c>
      <c r="BR173">
        <v>49</v>
      </c>
      <c r="BS173" s="6">
        <f>BR173/BR238</f>
        <v>0.17883211678832117</v>
      </c>
      <c r="BT173" s="6">
        <f>49/$BT$3</f>
        <v>0.17883211678832117</v>
      </c>
      <c r="BV173">
        <v>47</v>
      </c>
      <c r="BW173" s="6">
        <f>BV173/BV238</f>
        <v>0.1540983606557377</v>
      </c>
      <c r="BX173" s="6">
        <f>47/$BX$3</f>
        <v>0.1540983606557377</v>
      </c>
      <c r="BZ173">
        <v>34</v>
      </c>
      <c r="CA173" s="6">
        <f>BZ173/BZ238</f>
        <v>0.15178571428571427</v>
      </c>
      <c r="CB173" s="6">
        <f>34/$CB$3</f>
        <v>0.15178571428571427</v>
      </c>
      <c r="CD173">
        <v>48</v>
      </c>
      <c r="CE173" s="6">
        <f>CD173/CD238</f>
        <v>0.19917012448132779</v>
      </c>
      <c r="CF173" s="6">
        <f>48/$CF$3</f>
        <v>0.19917012448132779</v>
      </c>
      <c r="CH173">
        <v>55</v>
      </c>
      <c r="CI173" s="6">
        <f>CH173/CH238</f>
        <v>0.16666666666666666</v>
      </c>
      <c r="CJ173" s="6">
        <f>55/$CJ$3</f>
        <v>0.16666666666666666</v>
      </c>
    </row>
    <row r="174" spans="1:88" x14ac:dyDescent="0.35">
      <c r="A174" s="1" t="s">
        <v>509</v>
      </c>
      <c r="B174">
        <v>90</v>
      </c>
      <c r="C174" s="6">
        <f>B174/B238</f>
        <v>8.1818181818181818E-2</v>
      </c>
      <c r="D174" s="6">
        <f>90/$D$3</f>
        <v>8.1818181818181818E-2</v>
      </c>
      <c r="F174">
        <v>51</v>
      </c>
      <c r="G174" s="6">
        <f>F174/F238</f>
        <v>5.598243688254665E-2</v>
      </c>
      <c r="H174" s="6">
        <f>51/$H$3</f>
        <v>5.598243688254665E-2</v>
      </c>
      <c r="J174">
        <v>20</v>
      </c>
      <c r="K174" s="6">
        <f>J174/J238</f>
        <v>4.6082949308755762E-2</v>
      </c>
      <c r="L174" s="6">
        <f>20/$L$3</f>
        <v>4.6082949308755762E-2</v>
      </c>
      <c r="N174">
        <v>6</v>
      </c>
      <c r="O174" s="6">
        <f>N174/N238</f>
        <v>7.407407407407407E-2</v>
      </c>
      <c r="P174" s="6">
        <f>6/$P$3</f>
        <v>7.407407407407407E-2</v>
      </c>
      <c r="R174">
        <v>49</v>
      </c>
      <c r="S174" s="6">
        <f>R174/R238</f>
        <v>8.7499999999999994E-2</v>
      </c>
      <c r="T174" s="6">
        <f>49/$T$3</f>
        <v>8.7499999999999994E-2</v>
      </c>
      <c r="V174">
        <v>41</v>
      </c>
      <c r="W174" s="6">
        <f>V174/V238</f>
        <v>7.5925925925925924E-2</v>
      </c>
      <c r="X174" s="6">
        <f>41/$X$3</f>
        <v>7.5925925925925924E-2</v>
      </c>
      <c r="Z174">
        <v>12</v>
      </c>
      <c r="AA174" s="6">
        <f>Z174/Z238</f>
        <v>0.10619469026548672</v>
      </c>
      <c r="AB174" s="6">
        <f>12/$AB$3</f>
        <v>0.10619469026548672</v>
      </c>
      <c r="AD174">
        <v>8</v>
      </c>
      <c r="AE174" s="6">
        <f>AD174/AD238</f>
        <v>4.0404040404040407E-2</v>
      </c>
      <c r="AF174" s="6">
        <f>8/$AF$3</f>
        <v>4.0404040404040407E-2</v>
      </c>
      <c r="AH174">
        <v>18</v>
      </c>
      <c r="AI174" s="6">
        <f>AH174/AH238</f>
        <v>7.28744939271255E-2</v>
      </c>
      <c r="AJ174" s="6">
        <f>18/$AJ$3</f>
        <v>7.28744939271255E-2</v>
      </c>
      <c r="AL174">
        <v>18</v>
      </c>
      <c r="AM174" s="6">
        <f>AL174/AL238</f>
        <v>7.7586206896551727E-2</v>
      </c>
      <c r="AN174" s="6">
        <f>18/$AN$3</f>
        <v>7.7586206896551727E-2</v>
      </c>
      <c r="AP174">
        <v>18</v>
      </c>
      <c r="AQ174" s="6">
        <f>AP174/AP238</f>
        <v>9.6774193548387094E-2</v>
      </c>
      <c r="AR174" s="6">
        <f>18/$AR$3</f>
        <v>9.6774193548387094E-2</v>
      </c>
      <c r="AT174">
        <v>16</v>
      </c>
      <c r="AU174" s="6">
        <f>AT174/AT238</f>
        <v>0.12903225806451613</v>
      </c>
      <c r="AV174" s="6">
        <f>16/$AV$3</f>
        <v>0.12903225806451613</v>
      </c>
      <c r="AW174" s="7"/>
      <c r="AX174">
        <v>37</v>
      </c>
      <c r="AY174" s="6">
        <f>AX174/AX238</f>
        <v>8.6046511627906982E-2</v>
      </c>
      <c r="AZ174" s="6">
        <f>37/$AZ$3</f>
        <v>8.6046511627906982E-2</v>
      </c>
      <c r="BB174">
        <v>30</v>
      </c>
      <c r="BC174" s="6">
        <f>BB174/BB238</f>
        <v>7.0093457943925228E-2</v>
      </c>
      <c r="BD174" s="6">
        <f>30/$BD$3</f>
        <v>7.0093457943925228E-2</v>
      </c>
      <c r="BF174">
        <v>23</v>
      </c>
      <c r="BG174" s="6">
        <f>BF174/BF238</f>
        <v>9.5041322314049589E-2</v>
      </c>
      <c r="BH174" s="6">
        <f>23/$BH$3</f>
        <v>9.5041322314049589E-2</v>
      </c>
      <c r="BJ174">
        <v>41</v>
      </c>
      <c r="BK174" s="6">
        <f>BJ174/BJ238</f>
        <v>0.10173697270471464</v>
      </c>
      <c r="BL174" s="6">
        <f>41/$BL$3</f>
        <v>0.10173697270471464</v>
      </c>
      <c r="BN174">
        <v>29</v>
      </c>
      <c r="BO174" s="6">
        <f>BN174/BN238</f>
        <v>6.8557919621749411E-2</v>
      </c>
      <c r="BP174" s="6">
        <f>29/$BP$3</f>
        <v>6.8557919621749411E-2</v>
      </c>
      <c r="BR174">
        <v>20</v>
      </c>
      <c r="BS174" s="6">
        <f>BR174/BR238</f>
        <v>7.2992700729927001E-2</v>
      </c>
      <c r="BT174" s="6">
        <f>20/$BT$3</f>
        <v>7.2992700729927001E-2</v>
      </c>
      <c r="BV174">
        <v>25</v>
      </c>
      <c r="BW174" s="6">
        <f>BV174/BV238</f>
        <v>8.1967213114754092E-2</v>
      </c>
      <c r="BX174" s="6">
        <f>25/$BX$3</f>
        <v>8.1967213114754092E-2</v>
      </c>
      <c r="BZ174">
        <v>14</v>
      </c>
      <c r="CA174" s="6">
        <f>BZ174/BZ238</f>
        <v>6.25E-2</v>
      </c>
      <c r="CB174" s="6">
        <f>14/$CB$3</f>
        <v>6.25E-2</v>
      </c>
      <c r="CD174">
        <v>22</v>
      </c>
      <c r="CE174" s="6">
        <f>CD174/CD238</f>
        <v>9.1286307053941904E-2</v>
      </c>
      <c r="CF174" s="6">
        <f>22/$CF$3</f>
        <v>9.1286307053941904E-2</v>
      </c>
      <c r="CH174">
        <v>29</v>
      </c>
      <c r="CI174" s="6">
        <f>CH174/CH238</f>
        <v>8.7878787878787876E-2</v>
      </c>
      <c r="CJ174" s="6">
        <f>29/$CJ$3</f>
        <v>8.7878787878787876E-2</v>
      </c>
    </row>
    <row r="176" spans="1:88" x14ac:dyDescent="0.35">
      <c r="A176" s="1" t="s">
        <v>510</v>
      </c>
      <c r="B176">
        <v>562</v>
      </c>
      <c r="C176" s="6">
        <f>B176/B238</f>
        <v>0.51090909090909087</v>
      </c>
      <c r="D176" s="6">
        <f>562/$D$3</f>
        <v>0.51090909090909087</v>
      </c>
      <c r="F176">
        <v>491</v>
      </c>
      <c r="G176" s="6">
        <f>F176/F238</f>
        <v>0.53896816684961579</v>
      </c>
      <c r="H176" s="6">
        <f>491/$H$3</f>
        <v>0.53896816684961579</v>
      </c>
      <c r="J176">
        <v>254</v>
      </c>
      <c r="K176" s="6">
        <f>J176/J238</f>
        <v>0.58525345622119818</v>
      </c>
      <c r="L176" s="9">
        <f>254/$L$3</f>
        <v>0.58525345622119818</v>
      </c>
      <c r="N176">
        <v>34</v>
      </c>
      <c r="O176" s="6">
        <f>N176/N238</f>
        <v>0.41975308641975306</v>
      </c>
      <c r="P176" s="6">
        <f>34/$P$3</f>
        <v>0.41975308641975306</v>
      </c>
      <c r="R176">
        <v>295</v>
      </c>
      <c r="S176" s="6">
        <f>R176/R238</f>
        <v>0.5267857142857143</v>
      </c>
      <c r="T176" s="6">
        <f>295/$T$3</f>
        <v>0.5267857142857143</v>
      </c>
      <c r="V176">
        <v>267</v>
      </c>
      <c r="W176" s="6">
        <f>V176/V238</f>
        <v>0.49444444444444446</v>
      </c>
      <c r="X176" s="6">
        <f>267/$X$3</f>
        <v>0.49444444444444446</v>
      </c>
      <c r="Z176">
        <v>66</v>
      </c>
      <c r="AA176" s="6">
        <f>Z176/Z238</f>
        <v>0.58407079646017701</v>
      </c>
      <c r="AB176" s="6">
        <f>66/$AB$3</f>
        <v>0.58407079646017701</v>
      </c>
      <c r="AD176">
        <v>106</v>
      </c>
      <c r="AE176" s="6">
        <f>AD176/AD238</f>
        <v>0.53535353535353536</v>
      </c>
      <c r="AF176" s="6">
        <f>106/$AF$3</f>
        <v>0.53535353535353536</v>
      </c>
      <c r="AH176">
        <v>123</v>
      </c>
      <c r="AI176" s="6">
        <f>AH176/AH238</f>
        <v>0.49797570850202427</v>
      </c>
      <c r="AJ176" s="6">
        <f>123/$AJ$3</f>
        <v>0.49797570850202427</v>
      </c>
      <c r="AL176">
        <v>122</v>
      </c>
      <c r="AM176" s="6">
        <f>AL176/AL238</f>
        <v>0.52586206896551724</v>
      </c>
      <c r="AN176" s="6">
        <f>122/$AN$3</f>
        <v>0.52586206896551724</v>
      </c>
      <c r="AP176">
        <v>91</v>
      </c>
      <c r="AQ176" s="6">
        <f>AP176/AP238</f>
        <v>0.489247311827957</v>
      </c>
      <c r="AR176" s="6">
        <f>91/$AR$3</f>
        <v>0.489247311827957</v>
      </c>
      <c r="AT176">
        <v>54</v>
      </c>
      <c r="AU176" s="6">
        <f>AT176/AT238</f>
        <v>0.43548387096774194</v>
      </c>
      <c r="AV176" s="6">
        <f>54/$AV$3</f>
        <v>0.43548387096774194</v>
      </c>
      <c r="AX176">
        <v>231</v>
      </c>
      <c r="AY176" s="6">
        <f>AX176/AX238</f>
        <v>0.53720930232558139</v>
      </c>
      <c r="AZ176" s="6">
        <f>231/$AZ$3</f>
        <v>0.53720930232558139</v>
      </c>
      <c r="BB176">
        <v>224</v>
      </c>
      <c r="BC176" s="6">
        <f>BB176/BB238</f>
        <v>0.52336448598130836</v>
      </c>
      <c r="BD176" s="6">
        <f>224/$BD$3</f>
        <v>0.52336448598130836</v>
      </c>
      <c r="BF176">
        <v>107</v>
      </c>
      <c r="BG176" s="6">
        <f>BF176/BF238</f>
        <v>0.44214876033057854</v>
      </c>
      <c r="BH176" s="8">
        <f>107/$BH$3</f>
        <v>0.44214876033057854</v>
      </c>
      <c r="BJ176">
        <v>191</v>
      </c>
      <c r="BK176" s="6">
        <f>BJ176/BJ238</f>
        <v>0.47394540942928037</v>
      </c>
      <c r="BL176" s="6">
        <f>191/$BL$3</f>
        <v>0.47394540942928037</v>
      </c>
      <c r="BN176">
        <v>234</v>
      </c>
      <c r="BO176" s="6">
        <f>BN176/BN238</f>
        <v>0.55319148936170215</v>
      </c>
      <c r="BP176" s="6">
        <f>234/$BP$3</f>
        <v>0.55319148936170215</v>
      </c>
      <c r="BR176">
        <v>137</v>
      </c>
      <c r="BS176" s="6">
        <f>BR176/BR238</f>
        <v>0.5</v>
      </c>
      <c r="BT176" s="6">
        <f>137/$BT$3</f>
        <v>0.5</v>
      </c>
      <c r="BV176">
        <v>160</v>
      </c>
      <c r="BW176" s="6">
        <f>BV176/BV238</f>
        <v>0.52459016393442626</v>
      </c>
      <c r="BX176" s="6">
        <f>160/$BX$3</f>
        <v>0.52459016393442626</v>
      </c>
      <c r="BZ176">
        <v>121</v>
      </c>
      <c r="CA176" s="6">
        <f>BZ176/BZ238</f>
        <v>0.5401785714285714</v>
      </c>
      <c r="CB176" s="6">
        <f>121/$CB$3</f>
        <v>0.5401785714285714</v>
      </c>
      <c r="CD176">
        <v>124</v>
      </c>
      <c r="CE176" s="6">
        <f>CD176/CD238</f>
        <v>0.51452282157676343</v>
      </c>
      <c r="CF176" s="6">
        <f>124/$CF$3</f>
        <v>0.51452282157676343</v>
      </c>
      <c r="CH176">
        <v>157</v>
      </c>
      <c r="CI176" s="6">
        <f>CH176/CH238</f>
        <v>0.47575757575757577</v>
      </c>
      <c r="CJ176" s="6">
        <f>157/$CJ$3</f>
        <v>0.47575757575757577</v>
      </c>
    </row>
    <row r="177" spans="1:88" x14ac:dyDescent="0.35">
      <c r="A177" s="1" t="s">
        <v>511</v>
      </c>
      <c r="B177">
        <v>441</v>
      </c>
      <c r="C177" s="6">
        <f>B177/B238</f>
        <v>0.40090909090909088</v>
      </c>
      <c r="D177" s="6">
        <f>441/$D$3</f>
        <v>0.40090909090909088</v>
      </c>
      <c r="F177">
        <v>362</v>
      </c>
      <c r="G177" s="6">
        <f>F177/F238</f>
        <v>0.39736553238199779</v>
      </c>
      <c r="H177" s="6">
        <f>362/$H$3</f>
        <v>0.39736553238199779</v>
      </c>
      <c r="J177">
        <v>159</v>
      </c>
      <c r="K177" s="6">
        <f>J177/J238</f>
        <v>0.36635944700460832</v>
      </c>
      <c r="L177" s="6">
        <f>159/$L$3</f>
        <v>0.36635944700460832</v>
      </c>
      <c r="N177">
        <v>40</v>
      </c>
      <c r="O177" s="6">
        <f>N177/N238</f>
        <v>0.49382716049382713</v>
      </c>
      <c r="P177" s="6">
        <f>40/$P$3</f>
        <v>0.49382716049382713</v>
      </c>
      <c r="R177">
        <v>215</v>
      </c>
      <c r="S177" s="6">
        <f>R177/R238</f>
        <v>0.38392857142857145</v>
      </c>
      <c r="T177" s="6">
        <f>215/$T$3</f>
        <v>0.38392857142857145</v>
      </c>
      <c r="V177">
        <v>226</v>
      </c>
      <c r="W177" s="6">
        <f>V177/V238</f>
        <v>0.41851851851851851</v>
      </c>
      <c r="X177" s="6">
        <f>226/$X$3</f>
        <v>0.41851851851851851</v>
      </c>
      <c r="Z177">
        <v>38</v>
      </c>
      <c r="AA177" s="6">
        <f>Z177/Z238</f>
        <v>0.33628318584070799</v>
      </c>
      <c r="AB177" s="6">
        <f>38/$AB$3</f>
        <v>0.33628318584070799</v>
      </c>
      <c r="AD177">
        <v>79</v>
      </c>
      <c r="AE177" s="6">
        <f>AD177/AD238</f>
        <v>0.39898989898989901</v>
      </c>
      <c r="AF177" s="6">
        <f>79/$AF$3</f>
        <v>0.39898989898989901</v>
      </c>
      <c r="AH177">
        <v>102</v>
      </c>
      <c r="AI177" s="6">
        <f>AH177/AH238</f>
        <v>0.41295546558704455</v>
      </c>
      <c r="AJ177" s="6">
        <f>102/$AJ$3</f>
        <v>0.41295546558704455</v>
      </c>
      <c r="AL177">
        <v>92</v>
      </c>
      <c r="AM177" s="6">
        <f>AL177/AL238</f>
        <v>0.39655172413793105</v>
      </c>
      <c r="AN177" s="6">
        <f>92/$AN$3</f>
        <v>0.39655172413793105</v>
      </c>
      <c r="AP177">
        <v>79</v>
      </c>
      <c r="AQ177" s="6">
        <f>AP177/AP238</f>
        <v>0.42473118279569894</v>
      </c>
      <c r="AR177" s="6">
        <f>79/$AR$3</f>
        <v>0.42473118279569894</v>
      </c>
      <c r="AT177">
        <v>51</v>
      </c>
      <c r="AU177" s="6">
        <f>AT177/AT238</f>
        <v>0.41129032258064518</v>
      </c>
      <c r="AV177" s="6">
        <f>51/$AV$3</f>
        <v>0.41129032258064518</v>
      </c>
      <c r="AX177">
        <v>166</v>
      </c>
      <c r="AY177" s="6">
        <f>AX177/AX238</f>
        <v>0.38604651162790699</v>
      </c>
      <c r="AZ177" s="6">
        <f>166/$AZ$3</f>
        <v>0.38604651162790699</v>
      </c>
      <c r="BB177">
        <v>168</v>
      </c>
      <c r="BC177" s="6">
        <f>BB177/BB238</f>
        <v>0.3925233644859813</v>
      </c>
      <c r="BD177" s="6">
        <f>168/$BD$3</f>
        <v>0.3925233644859813</v>
      </c>
      <c r="BF177">
        <v>107</v>
      </c>
      <c r="BG177" s="6">
        <f>BF177/BF238</f>
        <v>0.44214876033057854</v>
      </c>
      <c r="BH177" s="6">
        <f>107/$BH$3</f>
        <v>0.44214876033057854</v>
      </c>
      <c r="BJ177">
        <v>173</v>
      </c>
      <c r="BK177" s="6">
        <f>BJ177/BJ238</f>
        <v>0.4292803970223325</v>
      </c>
      <c r="BL177" s="6">
        <f>173/$BL$3</f>
        <v>0.4292803970223325</v>
      </c>
      <c r="BN177">
        <v>148</v>
      </c>
      <c r="BO177" s="6">
        <f>BN177/BN238</f>
        <v>0.34988179669030733</v>
      </c>
      <c r="BP177" s="8">
        <f>148/$BP$3</f>
        <v>0.34988179669030733</v>
      </c>
      <c r="BR177">
        <v>120</v>
      </c>
      <c r="BS177" s="6">
        <f>BR177/BR238</f>
        <v>0.43795620437956206</v>
      </c>
      <c r="BT177" s="6">
        <f>120/$BT$3</f>
        <v>0.43795620437956206</v>
      </c>
      <c r="BV177">
        <v>120</v>
      </c>
      <c r="BW177" s="6">
        <f>BV177/BV238</f>
        <v>0.39344262295081966</v>
      </c>
      <c r="BX177" s="6">
        <f>120/$BX$3</f>
        <v>0.39344262295081966</v>
      </c>
      <c r="BZ177">
        <v>79</v>
      </c>
      <c r="CA177" s="6">
        <f>BZ177/BZ238</f>
        <v>0.35267857142857145</v>
      </c>
      <c r="CB177" s="6">
        <f>79/$CB$3</f>
        <v>0.35267857142857145</v>
      </c>
      <c r="CD177">
        <v>97</v>
      </c>
      <c r="CE177" s="6">
        <f>CD177/CD238</f>
        <v>0.40248962655601661</v>
      </c>
      <c r="CF177" s="6">
        <f>97/$CF$3</f>
        <v>0.40248962655601661</v>
      </c>
      <c r="CH177">
        <v>145</v>
      </c>
      <c r="CI177" s="6">
        <f>CH177/CH238</f>
        <v>0.43939393939393939</v>
      </c>
      <c r="CJ177" s="6">
        <f>145/$CJ$3</f>
        <v>0.43939393939393939</v>
      </c>
    </row>
    <row r="178" spans="1:88" x14ac:dyDescent="0.35">
      <c r="A178" s="1" t="s">
        <v>512</v>
      </c>
      <c r="B178">
        <v>44</v>
      </c>
      <c r="C178" s="6">
        <f>B178/B238</f>
        <v>0.04</v>
      </c>
      <c r="D178" s="6">
        <f>44/$D$3</f>
        <v>0.04</v>
      </c>
      <c r="F178">
        <v>35</v>
      </c>
      <c r="G178" s="6">
        <f>F178/F238</f>
        <v>3.8419319429198684E-2</v>
      </c>
      <c r="H178" s="6">
        <f>35/$H$3</f>
        <v>3.8419319429198684E-2</v>
      </c>
      <c r="J178">
        <v>17</v>
      </c>
      <c r="K178" s="6">
        <f>J178/J238</f>
        <v>3.9170506912442393E-2</v>
      </c>
      <c r="L178" s="6">
        <f>17/$L$3</f>
        <v>3.9170506912442393E-2</v>
      </c>
      <c r="N178">
        <v>3</v>
      </c>
      <c r="O178" s="6">
        <f>N178/N238</f>
        <v>3.7037037037037035E-2</v>
      </c>
      <c r="P178" s="6">
        <f>3/$P$3</f>
        <v>3.7037037037037035E-2</v>
      </c>
      <c r="R178">
        <v>18</v>
      </c>
      <c r="S178" s="6">
        <f>R178/R238</f>
        <v>3.214285714285714E-2</v>
      </c>
      <c r="T178" s="6">
        <f>18/$T$3</f>
        <v>3.214285714285714E-2</v>
      </c>
      <c r="V178">
        <v>26</v>
      </c>
      <c r="W178" s="6">
        <f>V178/V238</f>
        <v>4.8148148148148148E-2</v>
      </c>
      <c r="X178" s="6">
        <f>26/$X$3</f>
        <v>4.8148148148148148E-2</v>
      </c>
      <c r="Z178">
        <v>5</v>
      </c>
      <c r="AA178" s="6">
        <f>Z178/Z238</f>
        <v>4.4247787610619468E-2</v>
      </c>
      <c r="AB178" s="6">
        <f>5/$AB$3</f>
        <v>4.4247787610619468E-2</v>
      </c>
      <c r="AD178">
        <v>8</v>
      </c>
      <c r="AE178" s="6">
        <f>AD178/AD238</f>
        <v>4.0404040404040407E-2</v>
      </c>
      <c r="AF178" s="6">
        <f>8/$AF$3</f>
        <v>4.0404040404040407E-2</v>
      </c>
      <c r="AH178">
        <v>13</v>
      </c>
      <c r="AI178" s="6">
        <f>AH178/AH238</f>
        <v>5.2631578947368418E-2</v>
      </c>
      <c r="AJ178" s="6">
        <f>13/$AJ$3</f>
        <v>5.2631578947368418E-2</v>
      </c>
      <c r="AL178">
        <v>7</v>
      </c>
      <c r="AM178" s="6">
        <f>AL178/AL238</f>
        <v>3.017241379310345E-2</v>
      </c>
      <c r="AN178" s="6">
        <f>7/$AN$3</f>
        <v>3.017241379310345E-2</v>
      </c>
      <c r="AP178">
        <v>5</v>
      </c>
      <c r="AQ178" s="6">
        <f>AP178/AP238</f>
        <v>2.6881720430107527E-2</v>
      </c>
      <c r="AR178" s="6">
        <f>5/$AR$3</f>
        <v>2.6881720430107527E-2</v>
      </c>
      <c r="AT178">
        <v>6</v>
      </c>
      <c r="AU178" s="6">
        <f>AT178/AT238</f>
        <v>4.8387096774193547E-2</v>
      </c>
      <c r="AV178" s="6">
        <f>6/$AV$3</f>
        <v>4.8387096774193547E-2</v>
      </c>
      <c r="AX178">
        <v>13</v>
      </c>
      <c r="AY178" s="6">
        <f>AX178/AX238</f>
        <v>3.0232558139534883E-2</v>
      </c>
      <c r="AZ178" s="6">
        <f>13/$AZ$3</f>
        <v>3.0232558139534883E-2</v>
      </c>
      <c r="BB178">
        <v>19</v>
      </c>
      <c r="BC178" s="6">
        <f>BB178/BB238</f>
        <v>4.4392523364485979E-2</v>
      </c>
      <c r="BD178" s="6">
        <f>19/$BD$3</f>
        <v>4.4392523364485979E-2</v>
      </c>
      <c r="BF178">
        <v>12</v>
      </c>
      <c r="BG178" s="6">
        <f>BF178/BF238</f>
        <v>4.9586776859504134E-2</v>
      </c>
      <c r="BH178" s="6">
        <f>12/$BH$3</f>
        <v>4.9586776859504134E-2</v>
      </c>
      <c r="BJ178">
        <v>16</v>
      </c>
      <c r="BK178" s="6">
        <f>BJ178/BJ238</f>
        <v>3.9702233250620347E-2</v>
      </c>
      <c r="BL178" s="6">
        <f>16/$BL$3</f>
        <v>3.9702233250620347E-2</v>
      </c>
      <c r="BN178">
        <v>19</v>
      </c>
      <c r="BO178" s="6">
        <f>BN178/BN238</f>
        <v>4.4917257683215132E-2</v>
      </c>
      <c r="BP178" s="6">
        <f>19/$BP$3</f>
        <v>4.4917257683215132E-2</v>
      </c>
      <c r="BR178">
        <v>9</v>
      </c>
      <c r="BS178" s="6">
        <f>BR178/BR238</f>
        <v>3.2846715328467155E-2</v>
      </c>
      <c r="BT178" s="6">
        <f>9/$BT$3</f>
        <v>3.2846715328467155E-2</v>
      </c>
      <c r="BV178">
        <v>11</v>
      </c>
      <c r="BW178" s="6">
        <f>BV178/BV238</f>
        <v>3.6065573770491806E-2</v>
      </c>
      <c r="BX178" s="6">
        <f>11/$BX$3</f>
        <v>3.6065573770491806E-2</v>
      </c>
      <c r="BZ178">
        <v>12</v>
      </c>
      <c r="CA178" s="6">
        <f>BZ178/BZ238</f>
        <v>5.3571428571428568E-2</v>
      </c>
      <c r="CB178" s="6">
        <f>12/$CB$3</f>
        <v>5.3571428571428568E-2</v>
      </c>
      <c r="CD178">
        <v>9</v>
      </c>
      <c r="CE178" s="6">
        <f>CD178/CD238</f>
        <v>3.7344398340248962E-2</v>
      </c>
      <c r="CF178" s="6">
        <f>9/$CF$3</f>
        <v>3.7344398340248962E-2</v>
      </c>
      <c r="CH178">
        <v>12</v>
      </c>
      <c r="CI178" s="6">
        <f>CH178/CH238</f>
        <v>3.6363636363636362E-2</v>
      </c>
      <c r="CJ178" s="6">
        <f>12/$CJ$3</f>
        <v>3.6363636363636362E-2</v>
      </c>
    </row>
    <row r="179" spans="1:88" x14ac:dyDescent="0.35">
      <c r="A179" s="1" t="s">
        <v>513</v>
      </c>
      <c r="B179">
        <v>53</v>
      </c>
      <c r="C179" s="6">
        <f>B179/B238</f>
        <v>4.818181818181818E-2</v>
      </c>
      <c r="D179" s="6">
        <f>53/$D$3</f>
        <v>4.818181818181818E-2</v>
      </c>
      <c r="F179">
        <v>23</v>
      </c>
      <c r="G179" s="6">
        <f>F179/F238</f>
        <v>2.5246981339187707E-2</v>
      </c>
      <c r="H179" s="6">
        <f>23/$H$3</f>
        <v>2.5246981339187707E-2</v>
      </c>
      <c r="J179">
        <v>4</v>
      </c>
      <c r="K179" s="6">
        <f>J179/J238</f>
        <v>9.2165898617511521E-3</v>
      </c>
      <c r="L179" s="6">
        <f>4/$L$3</f>
        <v>9.2165898617511521E-3</v>
      </c>
      <c r="N179">
        <v>4</v>
      </c>
      <c r="O179" s="6">
        <f>N179/N238</f>
        <v>4.9382716049382713E-2</v>
      </c>
      <c r="P179" s="6">
        <f>4/$P$3</f>
        <v>4.9382716049382713E-2</v>
      </c>
      <c r="R179">
        <v>32</v>
      </c>
      <c r="S179" s="6">
        <f>R179/R238</f>
        <v>5.7142857142857141E-2</v>
      </c>
      <c r="T179" s="6">
        <f>32/$T$3</f>
        <v>5.7142857142857141E-2</v>
      </c>
      <c r="V179">
        <v>21</v>
      </c>
      <c r="W179" s="6">
        <f>V179/V238</f>
        <v>3.888888888888889E-2</v>
      </c>
      <c r="X179" s="6">
        <f>21/$X$3</f>
        <v>3.888888888888889E-2</v>
      </c>
      <c r="Z179">
        <v>4</v>
      </c>
      <c r="AA179" s="6">
        <f>Z179/Z238</f>
        <v>3.5398230088495575E-2</v>
      </c>
      <c r="AB179" s="6">
        <f>4/$AB$3</f>
        <v>3.5398230088495575E-2</v>
      </c>
      <c r="AD179">
        <v>5</v>
      </c>
      <c r="AE179" s="6">
        <f>AD179/AD238</f>
        <v>2.5252525252525252E-2</v>
      </c>
      <c r="AF179" s="6">
        <f>5/$AF$3</f>
        <v>2.5252525252525252E-2</v>
      </c>
      <c r="AH179">
        <v>9</v>
      </c>
      <c r="AI179" s="6">
        <f>AH179/AH238</f>
        <v>3.643724696356275E-2</v>
      </c>
      <c r="AJ179" s="6">
        <f>9/$AJ$3</f>
        <v>3.643724696356275E-2</v>
      </c>
      <c r="AL179">
        <v>11</v>
      </c>
      <c r="AM179" s="6">
        <f>AL179/AL238</f>
        <v>4.7413793103448273E-2</v>
      </c>
      <c r="AN179" s="6">
        <f>11/$AN$3</f>
        <v>4.7413793103448273E-2</v>
      </c>
      <c r="AP179">
        <v>11</v>
      </c>
      <c r="AQ179" s="6">
        <f>AP179/AP238</f>
        <v>5.9139784946236562E-2</v>
      </c>
      <c r="AR179" s="6">
        <f>11/$AR$3</f>
        <v>5.9139784946236562E-2</v>
      </c>
      <c r="AT179">
        <v>13</v>
      </c>
      <c r="AU179" s="6">
        <f>AT179/AT238</f>
        <v>0.10483870967741936</v>
      </c>
      <c r="AV179" s="6">
        <f>13/$AV$3</f>
        <v>0.10483870967741936</v>
      </c>
      <c r="AW179" s="7"/>
      <c r="AX179">
        <v>20</v>
      </c>
      <c r="AY179" s="6">
        <f>AX179/AX238</f>
        <v>4.6511627906976744E-2</v>
      </c>
      <c r="AZ179" s="6">
        <f>20/$AZ$3</f>
        <v>4.6511627906976744E-2</v>
      </c>
      <c r="BB179">
        <v>17</v>
      </c>
      <c r="BC179" s="6">
        <f>BB179/BB238</f>
        <v>3.9719626168224297E-2</v>
      </c>
      <c r="BD179" s="6">
        <f>17/$BD$3</f>
        <v>3.9719626168224297E-2</v>
      </c>
      <c r="BF179">
        <v>16</v>
      </c>
      <c r="BG179" s="6">
        <f>BF179/BF238</f>
        <v>6.6115702479338845E-2</v>
      </c>
      <c r="BH179" s="6">
        <f>16/$BH$3</f>
        <v>6.6115702479338845E-2</v>
      </c>
      <c r="BJ179">
        <v>23</v>
      </c>
      <c r="BK179" s="6">
        <f>BJ179/BJ238</f>
        <v>5.7071960297766747E-2</v>
      </c>
      <c r="BL179" s="6">
        <f>23/$BL$3</f>
        <v>5.7071960297766747E-2</v>
      </c>
      <c r="BN179">
        <v>22</v>
      </c>
      <c r="BO179" s="6">
        <f>BN179/BN238</f>
        <v>5.2009456264775412E-2</v>
      </c>
      <c r="BP179" s="6">
        <f>22/$BP$3</f>
        <v>5.2009456264775412E-2</v>
      </c>
      <c r="BR179">
        <v>8</v>
      </c>
      <c r="BS179" s="6">
        <f>BR179/BR238</f>
        <v>2.9197080291970802E-2</v>
      </c>
      <c r="BT179" s="6">
        <f>8/$BT$3</f>
        <v>2.9197080291970802E-2</v>
      </c>
      <c r="BV179">
        <v>14</v>
      </c>
      <c r="BW179" s="6">
        <f>BV179/BV238</f>
        <v>4.5901639344262293E-2</v>
      </c>
      <c r="BX179" s="6">
        <f>14/$BX$3</f>
        <v>4.5901639344262293E-2</v>
      </c>
      <c r="BZ179">
        <v>12</v>
      </c>
      <c r="CA179" s="6">
        <f>BZ179/BZ238</f>
        <v>5.3571428571428568E-2</v>
      </c>
      <c r="CB179" s="6">
        <f>12/$CB$3</f>
        <v>5.3571428571428568E-2</v>
      </c>
      <c r="CD179">
        <v>11</v>
      </c>
      <c r="CE179" s="6">
        <f>CD179/CD238</f>
        <v>4.5643153526970952E-2</v>
      </c>
      <c r="CF179" s="6">
        <f>11/$CF$3</f>
        <v>4.5643153526970952E-2</v>
      </c>
      <c r="CH179">
        <v>16</v>
      </c>
      <c r="CI179" s="6">
        <f>CH179/CH238</f>
        <v>4.8484848484848485E-2</v>
      </c>
      <c r="CJ179" s="6">
        <f>16/$CJ$3</f>
        <v>4.8484848484848485E-2</v>
      </c>
    </row>
    <row r="181" spans="1:88" x14ac:dyDescent="0.35">
      <c r="A181" s="1" t="s">
        <v>514</v>
      </c>
      <c r="B181">
        <v>365</v>
      </c>
      <c r="C181" s="6">
        <f>B181/B238</f>
        <v>0.33181818181818185</v>
      </c>
      <c r="D181" s="6">
        <f>365/$D$3</f>
        <v>0.33181818181818185</v>
      </c>
      <c r="F181">
        <v>319</v>
      </c>
      <c r="G181" s="6">
        <f>F181/F238</f>
        <v>0.35016465422612514</v>
      </c>
      <c r="H181" s="6">
        <f>319/$H$3</f>
        <v>0.35016465422612514</v>
      </c>
      <c r="J181">
        <v>146</v>
      </c>
      <c r="K181" s="6">
        <f>J181/J238</f>
        <v>0.33640552995391704</v>
      </c>
      <c r="L181" s="6">
        <f>146/$L$3</f>
        <v>0.33640552995391704</v>
      </c>
      <c r="N181">
        <v>31</v>
      </c>
      <c r="O181" s="6">
        <f>N181/N238</f>
        <v>0.38271604938271603</v>
      </c>
      <c r="P181" s="6">
        <f>31/$P$3</f>
        <v>0.38271604938271603</v>
      </c>
      <c r="R181">
        <v>163</v>
      </c>
      <c r="S181" s="6">
        <f>R181/R238</f>
        <v>0.29107142857142859</v>
      </c>
      <c r="T181" s="6">
        <f>163/$T$3</f>
        <v>0.29107142857142859</v>
      </c>
      <c r="V181">
        <v>202</v>
      </c>
      <c r="W181" s="6">
        <f>V181/V238</f>
        <v>0.37407407407407406</v>
      </c>
      <c r="X181" s="6">
        <f>202/$X$3</f>
        <v>0.37407407407407406</v>
      </c>
      <c r="Z181">
        <v>34</v>
      </c>
      <c r="AA181" s="6">
        <f>Z181/Z238</f>
        <v>0.30088495575221241</v>
      </c>
      <c r="AB181" s="6">
        <f>34/$AB$3</f>
        <v>0.30088495575221241</v>
      </c>
      <c r="AD181">
        <v>63</v>
      </c>
      <c r="AE181" s="6">
        <f>AD181/AD238</f>
        <v>0.31818181818181818</v>
      </c>
      <c r="AF181" s="6">
        <f>63/$AF$3</f>
        <v>0.31818181818181818</v>
      </c>
      <c r="AH181">
        <v>82</v>
      </c>
      <c r="AI181" s="6">
        <f>AH181/AH238</f>
        <v>0.33198380566801622</v>
      </c>
      <c r="AJ181" s="6">
        <f>82/$AJ$3</f>
        <v>0.33198380566801622</v>
      </c>
      <c r="AL181">
        <v>71</v>
      </c>
      <c r="AM181" s="6">
        <f>AL181/AL238</f>
        <v>0.30603448275862066</v>
      </c>
      <c r="AN181" s="6">
        <f>71/$AN$3</f>
        <v>0.30603448275862066</v>
      </c>
      <c r="AP181">
        <v>69</v>
      </c>
      <c r="AQ181" s="6">
        <f>AP181/AP238</f>
        <v>0.37096774193548387</v>
      </c>
      <c r="AR181" s="6">
        <f>69/$AR$3</f>
        <v>0.37096774193548387</v>
      </c>
      <c r="AT181">
        <v>46</v>
      </c>
      <c r="AU181" s="6">
        <f>AT181/AT238</f>
        <v>0.37096774193548387</v>
      </c>
      <c r="AV181" s="6">
        <f>46/$AV$3</f>
        <v>0.37096774193548387</v>
      </c>
      <c r="AX181">
        <v>154</v>
      </c>
      <c r="AY181" s="6">
        <f>AX181/AX238</f>
        <v>0.35813953488372091</v>
      </c>
      <c r="AZ181" s="6">
        <f>154/$AZ$3</f>
        <v>0.35813953488372091</v>
      </c>
      <c r="BB181">
        <v>140</v>
      </c>
      <c r="BC181" s="6">
        <f>BB181/BB238</f>
        <v>0.32710280373831774</v>
      </c>
      <c r="BD181" s="6">
        <f>140/$BD$3</f>
        <v>0.32710280373831774</v>
      </c>
      <c r="BF181">
        <v>71</v>
      </c>
      <c r="BG181" s="6">
        <f>BF181/BF238</f>
        <v>0.29338842975206614</v>
      </c>
      <c r="BH181" s="6">
        <f>71/$BH$3</f>
        <v>0.29338842975206614</v>
      </c>
      <c r="BJ181">
        <v>126</v>
      </c>
      <c r="BK181" s="6">
        <f>BJ181/BJ238</f>
        <v>0.31265508684863524</v>
      </c>
      <c r="BL181" s="6">
        <f>126/$BL$3</f>
        <v>0.31265508684863524</v>
      </c>
      <c r="BN181">
        <v>160</v>
      </c>
      <c r="BO181" s="6">
        <f>BN181/BN238</f>
        <v>0.37825059101654845</v>
      </c>
      <c r="BP181" s="6">
        <f>160/$BP$3</f>
        <v>0.37825059101654845</v>
      </c>
      <c r="BR181">
        <v>79</v>
      </c>
      <c r="BS181" s="6">
        <f>BR181/BR238</f>
        <v>0.28832116788321166</v>
      </c>
      <c r="BT181" s="6">
        <f>79/$BT$3</f>
        <v>0.28832116788321166</v>
      </c>
      <c r="BV181">
        <v>117</v>
      </c>
      <c r="BW181" s="6">
        <f>BV181/BV238</f>
        <v>0.38360655737704918</v>
      </c>
      <c r="BX181" s="9">
        <f>117/$BX$3</f>
        <v>0.38360655737704918</v>
      </c>
      <c r="BZ181">
        <v>61</v>
      </c>
      <c r="CA181" s="6">
        <f>BZ181/BZ238</f>
        <v>0.27232142857142855</v>
      </c>
      <c r="CB181" s="8">
        <f>61/$CB$3</f>
        <v>0.27232142857142855</v>
      </c>
      <c r="CD181">
        <v>75</v>
      </c>
      <c r="CE181" s="6">
        <f>CD181/CD238</f>
        <v>0.31120331950207469</v>
      </c>
      <c r="CF181" s="6">
        <f>75/$CF$3</f>
        <v>0.31120331950207469</v>
      </c>
      <c r="CH181">
        <v>112</v>
      </c>
      <c r="CI181" s="6">
        <f>CH181/CH238</f>
        <v>0.33939393939393941</v>
      </c>
      <c r="CJ181" s="6">
        <f>112/$CJ$3</f>
        <v>0.33939393939393941</v>
      </c>
    </row>
    <row r="182" spans="1:88" x14ac:dyDescent="0.35">
      <c r="A182" s="1" t="s">
        <v>515</v>
      </c>
      <c r="B182">
        <v>560</v>
      </c>
      <c r="C182" s="6">
        <f>B182/B238</f>
        <v>0.50909090909090904</v>
      </c>
      <c r="D182" s="6">
        <f>560/$D$3</f>
        <v>0.50909090909090904</v>
      </c>
      <c r="F182">
        <v>465</v>
      </c>
      <c r="G182" s="6">
        <f>F182/F238</f>
        <v>0.51042810098792535</v>
      </c>
      <c r="H182" s="6">
        <f>465/$H$3</f>
        <v>0.51042810098792535</v>
      </c>
      <c r="J182">
        <v>230</v>
      </c>
      <c r="K182" s="6">
        <f>J182/J238</f>
        <v>0.52995391705069128</v>
      </c>
      <c r="L182" s="6">
        <f>230/$L$3</f>
        <v>0.52995391705069128</v>
      </c>
      <c r="N182">
        <v>35</v>
      </c>
      <c r="O182" s="6">
        <f>N182/N238</f>
        <v>0.43209876543209874</v>
      </c>
      <c r="P182" s="6">
        <f>35/$P$3</f>
        <v>0.43209876543209874</v>
      </c>
      <c r="R182">
        <v>293</v>
      </c>
      <c r="S182" s="6">
        <f>R182/R238</f>
        <v>0.52321428571428574</v>
      </c>
      <c r="T182" s="6">
        <f>293/$T$3</f>
        <v>0.52321428571428574</v>
      </c>
      <c r="V182">
        <v>267</v>
      </c>
      <c r="W182" s="6">
        <f>V182/V238</f>
        <v>0.49444444444444446</v>
      </c>
      <c r="X182" s="6">
        <f>267/$X$3</f>
        <v>0.49444444444444446</v>
      </c>
      <c r="Z182">
        <v>52</v>
      </c>
      <c r="AA182" s="6">
        <f>Z182/Z238</f>
        <v>0.46017699115044247</v>
      </c>
      <c r="AB182" s="6">
        <f>52/$AB$3</f>
        <v>0.46017699115044247</v>
      </c>
      <c r="AD182">
        <v>106</v>
      </c>
      <c r="AE182" s="6">
        <f>AD182/AD238</f>
        <v>0.53535353535353536</v>
      </c>
      <c r="AF182" s="6">
        <f>106/$AF$3</f>
        <v>0.53535353535353536</v>
      </c>
      <c r="AH182">
        <v>126</v>
      </c>
      <c r="AI182" s="6">
        <f>AH182/AH238</f>
        <v>0.51012145748987858</v>
      </c>
      <c r="AJ182" s="6">
        <f>126/$AJ$3</f>
        <v>0.51012145748987858</v>
      </c>
      <c r="AL182">
        <v>128</v>
      </c>
      <c r="AM182" s="6">
        <f>AL182/AL238</f>
        <v>0.55172413793103448</v>
      </c>
      <c r="AN182" s="6">
        <f>128/$AN$3</f>
        <v>0.55172413793103448</v>
      </c>
      <c r="AP182">
        <v>90</v>
      </c>
      <c r="AQ182" s="6">
        <f>AP182/AP238</f>
        <v>0.4838709677419355</v>
      </c>
      <c r="AR182" s="6">
        <f>90/$AR$3</f>
        <v>0.4838709677419355</v>
      </c>
      <c r="AT182">
        <v>58</v>
      </c>
      <c r="AU182" s="6">
        <f>AT182/AT238</f>
        <v>0.46774193548387094</v>
      </c>
      <c r="AV182" s="6">
        <f>58/$AV$3</f>
        <v>0.46774193548387094</v>
      </c>
      <c r="AX182">
        <v>220</v>
      </c>
      <c r="AY182" s="6">
        <f>AX182/AX238</f>
        <v>0.51162790697674421</v>
      </c>
      <c r="AZ182" s="6">
        <f>220/$AZ$3</f>
        <v>0.51162790697674421</v>
      </c>
      <c r="BB182">
        <v>217</v>
      </c>
      <c r="BC182" s="6">
        <f>BB182/BB238</f>
        <v>0.5070093457943925</v>
      </c>
      <c r="BD182" s="6">
        <f>217/$BD$3</f>
        <v>0.5070093457943925</v>
      </c>
      <c r="BF182">
        <v>123</v>
      </c>
      <c r="BG182" s="6">
        <f>BF182/BF238</f>
        <v>0.50826446280991733</v>
      </c>
      <c r="BH182" s="6">
        <f>123/$BH$3</f>
        <v>0.50826446280991733</v>
      </c>
      <c r="BJ182">
        <v>207</v>
      </c>
      <c r="BK182" s="6">
        <f>BJ182/BJ238</f>
        <v>0.51364764267990071</v>
      </c>
      <c r="BL182" s="6">
        <f>207/$BL$3</f>
        <v>0.51364764267990071</v>
      </c>
      <c r="BN182">
        <v>199</v>
      </c>
      <c r="BO182" s="6">
        <f>BN182/BN238</f>
        <v>0.47044917257683216</v>
      </c>
      <c r="BP182" s="6">
        <f>199/$BP$3</f>
        <v>0.47044917257683216</v>
      </c>
      <c r="BR182">
        <v>154</v>
      </c>
      <c r="BS182" s="6">
        <f>BR182/BR238</f>
        <v>0.56204379562043794</v>
      </c>
      <c r="BT182" s="9">
        <f>154/$BT$3</f>
        <v>0.56204379562043794</v>
      </c>
      <c r="BV182">
        <v>143</v>
      </c>
      <c r="BW182" s="6">
        <f>BV182/BV238</f>
        <v>0.46885245901639344</v>
      </c>
      <c r="BX182" s="6">
        <f>143/$BX$3</f>
        <v>0.46885245901639344</v>
      </c>
      <c r="BZ182">
        <v>135</v>
      </c>
      <c r="CA182" s="6">
        <f>BZ182/BZ238</f>
        <v>0.6026785714285714</v>
      </c>
      <c r="CB182" s="9">
        <f>135/$CB$3</f>
        <v>0.6026785714285714</v>
      </c>
      <c r="CC182" s="7"/>
      <c r="CD182">
        <v>126</v>
      </c>
      <c r="CE182" s="6">
        <f>CD182/CD238</f>
        <v>0.52282157676348551</v>
      </c>
      <c r="CF182" s="6">
        <f>126/$CF$3</f>
        <v>0.52282157676348551</v>
      </c>
      <c r="CH182">
        <v>156</v>
      </c>
      <c r="CI182" s="6">
        <f>CH182/CH238</f>
        <v>0.47272727272727272</v>
      </c>
      <c r="CJ182" s="6">
        <f>156/$CJ$3</f>
        <v>0.47272727272727272</v>
      </c>
    </row>
    <row r="183" spans="1:88" x14ac:dyDescent="0.35">
      <c r="A183" s="1" t="s">
        <v>516</v>
      </c>
      <c r="B183">
        <v>103</v>
      </c>
      <c r="C183" s="6">
        <f>B183/B238</f>
        <v>9.3636363636363643E-2</v>
      </c>
      <c r="D183" s="6">
        <f>103/$D$3</f>
        <v>9.3636363636363643E-2</v>
      </c>
      <c r="F183">
        <v>90</v>
      </c>
      <c r="G183" s="6">
        <f>F183/F238</f>
        <v>9.8792535675082324E-2</v>
      </c>
      <c r="H183" s="6">
        <f>90/$H$3</f>
        <v>9.8792535675082324E-2</v>
      </c>
      <c r="J183">
        <v>44</v>
      </c>
      <c r="K183" s="6">
        <f>J183/J238</f>
        <v>0.10138248847926268</v>
      </c>
      <c r="L183" s="6">
        <f>44/$L$3</f>
        <v>0.10138248847926268</v>
      </c>
      <c r="N183">
        <v>12</v>
      </c>
      <c r="O183" s="6">
        <f>N183/N238</f>
        <v>0.14814814814814814</v>
      </c>
      <c r="P183" s="6">
        <f>12/$P$3</f>
        <v>0.14814814814814814</v>
      </c>
      <c r="R183">
        <v>57</v>
      </c>
      <c r="S183" s="6">
        <f>R183/R238</f>
        <v>0.10178571428571428</v>
      </c>
      <c r="T183" s="6">
        <f>57/$T$3</f>
        <v>0.10178571428571428</v>
      </c>
      <c r="V183">
        <v>46</v>
      </c>
      <c r="W183" s="6">
        <f>V183/V238</f>
        <v>8.5185185185185183E-2</v>
      </c>
      <c r="X183" s="6">
        <f>46/$X$3</f>
        <v>8.5185185185185183E-2</v>
      </c>
      <c r="Z183">
        <v>18</v>
      </c>
      <c r="AA183" s="6">
        <f>Z183/Z238</f>
        <v>0.15929203539823009</v>
      </c>
      <c r="AB183" s="9">
        <f>18/$AB$3</f>
        <v>0.15929203539823009</v>
      </c>
      <c r="AD183">
        <v>18</v>
      </c>
      <c r="AE183" s="6">
        <f>AD183/AD238</f>
        <v>9.0909090909090912E-2</v>
      </c>
      <c r="AF183" s="6">
        <f>18/$AF$3</f>
        <v>9.0909090909090912E-2</v>
      </c>
      <c r="AH183">
        <v>26</v>
      </c>
      <c r="AI183" s="6">
        <f>AH183/AH238</f>
        <v>0.10526315789473684</v>
      </c>
      <c r="AJ183" s="6">
        <f>26/$AJ$3</f>
        <v>0.10526315789473684</v>
      </c>
      <c r="AL183">
        <v>20</v>
      </c>
      <c r="AM183" s="6">
        <f>AL183/AL238</f>
        <v>8.6206896551724144E-2</v>
      </c>
      <c r="AN183" s="6">
        <f>20/$AN$3</f>
        <v>8.6206896551724144E-2</v>
      </c>
      <c r="AP183">
        <v>13</v>
      </c>
      <c r="AQ183" s="6">
        <f>AP183/AP238</f>
        <v>6.9892473118279563E-2</v>
      </c>
      <c r="AR183" s="6">
        <f>13/$AR$3</f>
        <v>6.9892473118279563E-2</v>
      </c>
      <c r="AT183">
        <v>8</v>
      </c>
      <c r="AU183" s="6">
        <f>AT183/AT238</f>
        <v>6.4516129032258063E-2</v>
      </c>
      <c r="AV183" s="6">
        <f>8/$AV$3</f>
        <v>6.4516129032258063E-2</v>
      </c>
      <c r="AX183">
        <v>29</v>
      </c>
      <c r="AY183" s="6">
        <f>AX183/AX238</f>
        <v>6.7441860465116285E-2</v>
      </c>
      <c r="AZ183" s="6">
        <f>29/$AZ$3</f>
        <v>6.7441860465116285E-2</v>
      </c>
      <c r="BB183">
        <v>49</v>
      </c>
      <c r="BC183" s="6">
        <f>BB183/BB238</f>
        <v>0.11448598130841121</v>
      </c>
      <c r="BD183" s="6">
        <f>49/$BD$3</f>
        <v>0.11448598130841121</v>
      </c>
      <c r="BF183">
        <v>25</v>
      </c>
      <c r="BG183" s="6">
        <f>BF183/BF238</f>
        <v>0.10330578512396695</v>
      </c>
      <c r="BH183" s="6">
        <f>25/$BH$3</f>
        <v>0.10330578512396695</v>
      </c>
      <c r="BJ183">
        <v>40</v>
      </c>
      <c r="BK183" s="6">
        <f>BJ183/BJ238</f>
        <v>9.9255583126550875E-2</v>
      </c>
      <c r="BL183" s="6">
        <f>40/$BL$3</f>
        <v>9.9255583126550875E-2</v>
      </c>
      <c r="BN183">
        <v>39</v>
      </c>
      <c r="BO183" s="6">
        <f>BN183/BN238</f>
        <v>9.2198581560283682E-2</v>
      </c>
      <c r="BP183" s="6">
        <f>39/$BP$3</f>
        <v>9.2198581560283682E-2</v>
      </c>
      <c r="BR183">
        <v>24</v>
      </c>
      <c r="BS183" s="6">
        <f>BR183/BR238</f>
        <v>8.7591240875912413E-2</v>
      </c>
      <c r="BT183" s="6">
        <f>24/$BT$3</f>
        <v>8.7591240875912413E-2</v>
      </c>
      <c r="BV183">
        <v>27</v>
      </c>
      <c r="BW183" s="6">
        <f>BV183/BV238</f>
        <v>8.8524590163934422E-2</v>
      </c>
      <c r="BX183" s="6">
        <f>27/$BX$3</f>
        <v>8.8524590163934422E-2</v>
      </c>
      <c r="BZ183">
        <v>17</v>
      </c>
      <c r="CA183" s="6">
        <f>BZ183/BZ238</f>
        <v>7.5892857142857137E-2</v>
      </c>
      <c r="CB183" s="6">
        <f>17/$CB$3</f>
        <v>7.5892857142857137E-2</v>
      </c>
      <c r="CD183">
        <v>23</v>
      </c>
      <c r="CE183" s="6">
        <f>CD183/CD238</f>
        <v>9.5435684647302899E-2</v>
      </c>
      <c r="CF183" s="6">
        <f>23/$CF$3</f>
        <v>9.5435684647302899E-2</v>
      </c>
      <c r="CH183">
        <v>36</v>
      </c>
      <c r="CI183" s="6">
        <f>CH183/CH238</f>
        <v>0.10909090909090909</v>
      </c>
      <c r="CJ183" s="6">
        <f>36/$CJ$3</f>
        <v>0.10909090909090909</v>
      </c>
    </row>
    <row r="184" spans="1:88" x14ac:dyDescent="0.35">
      <c r="A184" s="1" t="s">
        <v>517</v>
      </c>
      <c r="B184">
        <v>72</v>
      </c>
      <c r="C184" s="6">
        <f>B184/B238</f>
        <v>6.545454545454546E-2</v>
      </c>
      <c r="D184" s="6">
        <f>72/$D$3</f>
        <v>6.545454545454546E-2</v>
      </c>
      <c r="F184">
        <v>37</v>
      </c>
      <c r="G184" s="6">
        <f>F184/F238</f>
        <v>4.0614709110867182E-2</v>
      </c>
      <c r="H184" s="6">
        <f>37/$H$3</f>
        <v>4.0614709110867182E-2</v>
      </c>
      <c r="J184">
        <v>14</v>
      </c>
      <c r="K184" s="6">
        <f>J184/J238</f>
        <v>3.2258064516129031E-2</v>
      </c>
      <c r="L184" s="6">
        <f>14/$L$3</f>
        <v>3.2258064516129031E-2</v>
      </c>
      <c r="N184">
        <v>3</v>
      </c>
      <c r="O184" s="6">
        <f>N184/N238</f>
        <v>3.7037037037037035E-2</v>
      </c>
      <c r="P184" s="6">
        <f>3/$P$3</f>
        <v>3.7037037037037035E-2</v>
      </c>
      <c r="R184">
        <v>47</v>
      </c>
      <c r="S184" s="6">
        <f>R184/R238</f>
        <v>8.3928571428571422E-2</v>
      </c>
      <c r="T184" s="6">
        <f>47/$T$3</f>
        <v>8.3928571428571422E-2</v>
      </c>
      <c r="V184">
        <v>25</v>
      </c>
      <c r="W184" s="6">
        <f>V184/V238</f>
        <v>4.6296296296296294E-2</v>
      </c>
      <c r="X184" s="6">
        <f>25/$X$3</f>
        <v>4.6296296296296294E-2</v>
      </c>
      <c r="Z184">
        <v>9</v>
      </c>
      <c r="AA184" s="6">
        <f>Z184/Z238</f>
        <v>7.9646017699115043E-2</v>
      </c>
      <c r="AB184" s="6">
        <f>9/$AB$3</f>
        <v>7.9646017699115043E-2</v>
      </c>
      <c r="AD184">
        <v>11</v>
      </c>
      <c r="AE184" s="6">
        <f>AD184/AD238</f>
        <v>5.5555555555555552E-2</v>
      </c>
      <c r="AF184" s="6">
        <f>11/$AF$3</f>
        <v>5.5555555555555552E-2</v>
      </c>
      <c r="AH184">
        <v>13</v>
      </c>
      <c r="AI184" s="6">
        <f>AH184/AH238</f>
        <v>5.2631578947368418E-2</v>
      </c>
      <c r="AJ184" s="6">
        <f>13/$AJ$3</f>
        <v>5.2631578947368418E-2</v>
      </c>
      <c r="AL184">
        <v>13</v>
      </c>
      <c r="AM184" s="6">
        <f>AL184/AL238</f>
        <v>5.6034482758620691E-2</v>
      </c>
      <c r="AN184" s="6">
        <f>13/$AN$3</f>
        <v>5.6034482758620691E-2</v>
      </c>
      <c r="AP184">
        <v>14</v>
      </c>
      <c r="AQ184" s="6">
        <f>AP184/AP238</f>
        <v>7.5268817204301078E-2</v>
      </c>
      <c r="AR184" s="6">
        <f>14/$AR$3</f>
        <v>7.5268817204301078E-2</v>
      </c>
      <c r="AT184">
        <v>12</v>
      </c>
      <c r="AU184" s="6">
        <f>AT184/AT238</f>
        <v>9.6774193548387094E-2</v>
      </c>
      <c r="AV184" s="6">
        <f>12/$AV$3</f>
        <v>9.6774193548387094E-2</v>
      </c>
      <c r="AX184">
        <v>27</v>
      </c>
      <c r="AY184" s="6">
        <f>AX184/AX238</f>
        <v>6.2790697674418611E-2</v>
      </c>
      <c r="AZ184" s="6">
        <f>27/$AZ$3</f>
        <v>6.2790697674418611E-2</v>
      </c>
      <c r="BB184">
        <v>22</v>
      </c>
      <c r="BC184" s="6">
        <f>BB184/BB238</f>
        <v>5.1401869158878503E-2</v>
      </c>
      <c r="BD184" s="6">
        <f>22/$BD$3</f>
        <v>5.1401869158878503E-2</v>
      </c>
      <c r="BF184">
        <v>23</v>
      </c>
      <c r="BG184" s="6">
        <f>BF184/BF238</f>
        <v>9.5041322314049589E-2</v>
      </c>
      <c r="BH184" s="6">
        <f>23/$BH$3</f>
        <v>9.5041322314049589E-2</v>
      </c>
      <c r="BJ184">
        <v>30</v>
      </c>
      <c r="BK184" s="6">
        <f>BJ184/BJ238</f>
        <v>7.4441687344913146E-2</v>
      </c>
      <c r="BL184" s="6">
        <f>30/$BL$3</f>
        <v>7.4441687344913146E-2</v>
      </c>
      <c r="BN184">
        <v>25</v>
      </c>
      <c r="BO184" s="6">
        <f>BN184/BN238</f>
        <v>5.9101654846335699E-2</v>
      </c>
      <c r="BP184" s="6">
        <f>25/$BP$3</f>
        <v>5.9101654846335699E-2</v>
      </c>
      <c r="BR184">
        <v>17</v>
      </c>
      <c r="BS184" s="6">
        <f>BR184/BR238</f>
        <v>6.2043795620437957E-2</v>
      </c>
      <c r="BT184" s="6">
        <f>17/$BT$3</f>
        <v>6.2043795620437957E-2</v>
      </c>
      <c r="BV184">
        <v>18</v>
      </c>
      <c r="BW184" s="6">
        <f>BV184/BV238</f>
        <v>5.9016393442622953E-2</v>
      </c>
      <c r="BX184" s="6">
        <f>18/$BX$3</f>
        <v>5.9016393442622953E-2</v>
      </c>
      <c r="BZ184">
        <v>11</v>
      </c>
      <c r="CA184" s="6">
        <f>BZ184/BZ238</f>
        <v>4.9107142857142856E-2</v>
      </c>
      <c r="CB184" s="6">
        <f>11/$CB$3</f>
        <v>4.9107142857142856E-2</v>
      </c>
      <c r="CD184">
        <v>17</v>
      </c>
      <c r="CE184" s="6">
        <f>CD184/CD238</f>
        <v>7.0539419087136929E-2</v>
      </c>
      <c r="CF184" s="6">
        <f>17/$CF$3</f>
        <v>7.0539419087136929E-2</v>
      </c>
      <c r="CH184">
        <v>26</v>
      </c>
      <c r="CI184" s="6">
        <f>CH184/CH238</f>
        <v>7.8787878787878782E-2</v>
      </c>
      <c r="CJ184" s="6">
        <f>26/$CJ$3</f>
        <v>7.8787878787878782E-2</v>
      </c>
    </row>
    <row r="186" spans="1:88" x14ac:dyDescent="0.35">
      <c r="A186" s="1" t="s">
        <v>518</v>
      </c>
      <c r="B186">
        <v>391</v>
      </c>
      <c r="C186" s="6">
        <f>B186/B238</f>
        <v>0.35545454545454547</v>
      </c>
      <c r="D186" s="6">
        <f>391/$D$3</f>
        <v>0.35545454545454547</v>
      </c>
      <c r="F186">
        <v>334</v>
      </c>
      <c r="G186" s="6">
        <f>F186/F238</f>
        <v>0.36663007683863885</v>
      </c>
      <c r="H186" s="6">
        <f>334/$H$3</f>
        <v>0.36663007683863885</v>
      </c>
      <c r="J186">
        <v>172</v>
      </c>
      <c r="K186" s="6">
        <f>J186/J238</f>
        <v>0.39631336405529954</v>
      </c>
      <c r="L186" s="6">
        <f>172/$L$3</f>
        <v>0.39631336405529954</v>
      </c>
      <c r="N186">
        <v>23</v>
      </c>
      <c r="O186" s="6">
        <f>N186/N238</f>
        <v>0.2839506172839506</v>
      </c>
      <c r="P186" s="6">
        <f>23/$P$3</f>
        <v>0.2839506172839506</v>
      </c>
      <c r="R186">
        <v>211</v>
      </c>
      <c r="S186" s="6">
        <f>R186/R238</f>
        <v>0.37678571428571428</v>
      </c>
      <c r="T186" s="6">
        <f>211/$T$3</f>
        <v>0.37678571428571428</v>
      </c>
      <c r="V186">
        <v>180</v>
      </c>
      <c r="W186" s="6">
        <f>V186/V238</f>
        <v>0.33333333333333331</v>
      </c>
      <c r="X186" s="6">
        <f>180/$X$3</f>
        <v>0.33333333333333331</v>
      </c>
      <c r="Z186">
        <v>48</v>
      </c>
      <c r="AA186" s="6">
        <f>Z186/Z238</f>
        <v>0.4247787610619469</v>
      </c>
      <c r="AB186" s="6">
        <f>48/$AB$3</f>
        <v>0.4247787610619469</v>
      </c>
      <c r="AC186" s="7"/>
      <c r="AD186">
        <v>84</v>
      </c>
      <c r="AE186" s="6">
        <f>AD186/AD238</f>
        <v>0.42424242424242425</v>
      </c>
      <c r="AF186" s="9">
        <f>84/$AF$3</f>
        <v>0.42424242424242425</v>
      </c>
      <c r="AG186" s="7"/>
      <c r="AH186">
        <v>98</v>
      </c>
      <c r="AI186" s="6">
        <f>AH186/AH238</f>
        <v>0.39676113360323889</v>
      </c>
      <c r="AJ186" s="6">
        <f>98/$AJ$3</f>
        <v>0.39676113360323889</v>
      </c>
      <c r="AK186" s="7"/>
      <c r="AL186">
        <v>80</v>
      </c>
      <c r="AM186" s="6">
        <f>AL186/AL238</f>
        <v>0.34482758620689657</v>
      </c>
      <c r="AN186" s="6">
        <f>80/$AN$3</f>
        <v>0.34482758620689657</v>
      </c>
      <c r="AP186">
        <v>48</v>
      </c>
      <c r="AQ186" s="6">
        <f>AP186/AP238</f>
        <v>0.25806451612903225</v>
      </c>
      <c r="AR186" s="8">
        <f>48/$AR$3</f>
        <v>0.25806451612903225</v>
      </c>
      <c r="AT186">
        <v>33</v>
      </c>
      <c r="AU186" s="6">
        <f>AT186/AT238</f>
        <v>0.2661290322580645</v>
      </c>
      <c r="AV186" s="8">
        <f>33/$AV$3</f>
        <v>0.2661290322580645</v>
      </c>
      <c r="AX186">
        <v>149</v>
      </c>
      <c r="AY186" s="6">
        <f>AX186/AX238</f>
        <v>0.34651162790697676</v>
      </c>
      <c r="AZ186" s="6">
        <f>149/$AZ$3</f>
        <v>0.34651162790697676</v>
      </c>
      <c r="BB186">
        <v>155</v>
      </c>
      <c r="BC186" s="6">
        <f>BB186/BB238</f>
        <v>0.36214953271028039</v>
      </c>
      <c r="BD186" s="6">
        <f>155/$BD$3</f>
        <v>0.36214953271028039</v>
      </c>
      <c r="BF186">
        <v>87</v>
      </c>
      <c r="BG186" s="6">
        <f>BF186/BF238</f>
        <v>0.35950413223140498</v>
      </c>
      <c r="BH186" s="6">
        <f>87/$BH$3</f>
        <v>0.35950413223140498</v>
      </c>
      <c r="BJ186">
        <v>128</v>
      </c>
      <c r="BK186" s="6">
        <f>BJ186/BJ238</f>
        <v>0.31761786600496278</v>
      </c>
      <c r="BL186" s="6">
        <f>128/$BL$3</f>
        <v>0.31761786600496278</v>
      </c>
      <c r="BN186">
        <v>152</v>
      </c>
      <c r="BO186" s="6">
        <f>BN186/BN238</f>
        <v>0.35933806146572106</v>
      </c>
      <c r="BP186" s="6">
        <f>152/$BP$3</f>
        <v>0.35933806146572106</v>
      </c>
      <c r="BR186">
        <v>111</v>
      </c>
      <c r="BS186" s="6">
        <f>BR186/BR238</f>
        <v>0.4051094890510949</v>
      </c>
      <c r="BT186" s="6">
        <f>111/$BT$3</f>
        <v>0.4051094890510949</v>
      </c>
      <c r="BV186">
        <v>114</v>
      </c>
      <c r="BW186" s="6">
        <f>BV186/BV238</f>
        <v>0.3737704918032787</v>
      </c>
      <c r="BX186" s="6">
        <f>114/$BX$3</f>
        <v>0.3737704918032787</v>
      </c>
      <c r="BZ186">
        <v>69</v>
      </c>
      <c r="CA186" s="6">
        <f>BZ186/BZ238</f>
        <v>0.3080357142857143</v>
      </c>
      <c r="CB186" s="6">
        <f>69/$CB$3</f>
        <v>0.3080357142857143</v>
      </c>
      <c r="CD186">
        <v>88</v>
      </c>
      <c r="CE186" s="6">
        <f>CD186/CD238</f>
        <v>0.36514522821576761</v>
      </c>
      <c r="CF186" s="6">
        <f>88/$CF$3</f>
        <v>0.36514522821576761</v>
      </c>
      <c r="CH186">
        <v>120</v>
      </c>
      <c r="CI186" s="6">
        <f>CH186/CH238</f>
        <v>0.36363636363636365</v>
      </c>
      <c r="CJ186" s="6">
        <f>120/$CJ$3</f>
        <v>0.36363636363636365</v>
      </c>
    </row>
    <row r="187" spans="1:88" x14ac:dyDescent="0.35">
      <c r="A187" s="1" t="s">
        <v>519</v>
      </c>
      <c r="B187">
        <v>422</v>
      </c>
      <c r="C187" s="6">
        <f>B187/B238</f>
        <v>0.38363636363636361</v>
      </c>
      <c r="D187" s="6">
        <f>422/$D$3</f>
        <v>0.38363636363636361</v>
      </c>
      <c r="F187">
        <v>354</v>
      </c>
      <c r="G187" s="6">
        <f>F187/F238</f>
        <v>0.38858397365532382</v>
      </c>
      <c r="H187" s="6">
        <f>354/$H$3</f>
        <v>0.38858397365532382</v>
      </c>
      <c r="J187">
        <v>166</v>
      </c>
      <c r="K187" s="6">
        <f>J187/J238</f>
        <v>0.38248847926267282</v>
      </c>
      <c r="L187" s="6">
        <f>166/$L$3</f>
        <v>0.38248847926267282</v>
      </c>
      <c r="N187">
        <v>31</v>
      </c>
      <c r="O187" s="6">
        <f>N187/N238</f>
        <v>0.38271604938271603</v>
      </c>
      <c r="P187" s="6">
        <f>31/$P$3</f>
        <v>0.38271604938271603</v>
      </c>
      <c r="R187">
        <v>204</v>
      </c>
      <c r="S187" s="6">
        <f>R187/R238</f>
        <v>0.36428571428571427</v>
      </c>
      <c r="T187" s="6">
        <f>204/$T$3</f>
        <v>0.36428571428571427</v>
      </c>
      <c r="V187">
        <v>218</v>
      </c>
      <c r="W187" s="6">
        <f>V187/V238</f>
        <v>0.40370370370370373</v>
      </c>
      <c r="X187" s="6">
        <f>218/$X$3</f>
        <v>0.40370370370370373</v>
      </c>
      <c r="Z187">
        <v>40</v>
      </c>
      <c r="AA187" s="6">
        <f>Z187/Z238</f>
        <v>0.35398230088495575</v>
      </c>
      <c r="AB187" s="6">
        <f>40/$AB$3</f>
        <v>0.35398230088495575</v>
      </c>
      <c r="AD187">
        <v>72</v>
      </c>
      <c r="AE187" s="6">
        <f>AD187/AD238</f>
        <v>0.36363636363636365</v>
      </c>
      <c r="AF187" s="6">
        <f>72/$AF$3</f>
        <v>0.36363636363636365</v>
      </c>
      <c r="AH187">
        <v>90</v>
      </c>
      <c r="AI187" s="6">
        <f>AH187/AH238</f>
        <v>0.36437246963562753</v>
      </c>
      <c r="AJ187" s="6">
        <f>90/$AJ$3</f>
        <v>0.36437246963562753</v>
      </c>
      <c r="AL187">
        <v>86</v>
      </c>
      <c r="AM187" s="6">
        <f>AL187/AL238</f>
        <v>0.37068965517241381</v>
      </c>
      <c r="AN187" s="6">
        <f>86/$AN$3</f>
        <v>0.37068965517241381</v>
      </c>
      <c r="AP187">
        <v>78</v>
      </c>
      <c r="AQ187" s="6">
        <f>AP187/AP238</f>
        <v>0.41935483870967744</v>
      </c>
      <c r="AR187" s="6">
        <f>78/$AR$3</f>
        <v>0.41935483870967744</v>
      </c>
      <c r="AT187">
        <v>56</v>
      </c>
      <c r="AU187" s="6">
        <f>AT187/AT238</f>
        <v>0.45161290322580644</v>
      </c>
      <c r="AV187" s="6">
        <f>56/$AV$3</f>
        <v>0.45161290322580644</v>
      </c>
      <c r="AX187">
        <v>170</v>
      </c>
      <c r="AY187" s="6">
        <f>AX187/AX238</f>
        <v>0.39534883720930231</v>
      </c>
      <c r="AZ187" s="6">
        <f>170/$AZ$3</f>
        <v>0.39534883720930231</v>
      </c>
      <c r="BB187">
        <v>159</v>
      </c>
      <c r="BC187" s="6">
        <f>BB187/BB238</f>
        <v>0.37149532710280375</v>
      </c>
      <c r="BD187" s="6">
        <f>159/$BD$3</f>
        <v>0.37149532710280375</v>
      </c>
      <c r="BF187">
        <v>93</v>
      </c>
      <c r="BG187" s="6">
        <f>BF187/BF238</f>
        <v>0.38429752066115702</v>
      </c>
      <c r="BH187" s="6">
        <f>93/$BH$3</f>
        <v>0.38429752066115702</v>
      </c>
      <c r="BJ187">
        <v>149</v>
      </c>
      <c r="BK187" s="6">
        <f>BJ187/BJ238</f>
        <v>0.36972704714640198</v>
      </c>
      <c r="BL187" s="6">
        <f>149/$BL$3</f>
        <v>0.36972704714640198</v>
      </c>
      <c r="BN187">
        <v>164</v>
      </c>
      <c r="BO187" s="6">
        <f>BN187/BN238</f>
        <v>0.38770685579196218</v>
      </c>
      <c r="BP187" s="6">
        <f>164/$BP$3</f>
        <v>0.38770685579196218</v>
      </c>
      <c r="BR187">
        <v>109</v>
      </c>
      <c r="BS187" s="6">
        <f>BR187/BR238</f>
        <v>0.3978102189781022</v>
      </c>
      <c r="BT187" s="6">
        <f>109/$BT$3</f>
        <v>0.3978102189781022</v>
      </c>
      <c r="BV187">
        <v>119</v>
      </c>
      <c r="BW187" s="6">
        <f>BV187/BV238</f>
        <v>0.39016393442622949</v>
      </c>
      <c r="BX187" s="6">
        <f>119/$BX$3</f>
        <v>0.39016393442622949</v>
      </c>
      <c r="BZ187">
        <v>90</v>
      </c>
      <c r="CA187" s="6">
        <f>BZ187/BZ238</f>
        <v>0.4017857142857143</v>
      </c>
      <c r="CB187" s="6">
        <f>90/$CB$3</f>
        <v>0.4017857142857143</v>
      </c>
      <c r="CD187">
        <v>86</v>
      </c>
      <c r="CE187" s="6">
        <f>CD187/CD238</f>
        <v>0.35684647302904565</v>
      </c>
      <c r="CF187" s="6">
        <f>86/$CF$3</f>
        <v>0.35684647302904565</v>
      </c>
      <c r="CH187">
        <v>127</v>
      </c>
      <c r="CI187" s="6">
        <f>CH187/CH238</f>
        <v>0.38484848484848483</v>
      </c>
      <c r="CJ187" s="6">
        <f>127/$CJ$3</f>
        <v>0.38484848484848483</v>
      </c>
    </row>
    <row r="188" spans="1:88" x14ac:dyDescent="0.35">
      <c r="A188" s="1" t="s">
        <v>520</v>
      </c>
      <c r="B188">
        <v>185</v>
      </c>
      <c r="C188" s="6">
        <f>B188/B238</f>
        <v>0.16818181818181818</v>
      </c>
      <c r="D188" s="6">
        <f>185/$D$3</f>
        <v>0.16818181818181818</v>
      </c>
      <c r="F188">
        <v>157</v>
      </c>
      <c r="G188" s="6">
        <f>F188/F238</f>
        <v>0.17233809001097694</v>
      </c>
      <c r="H188" s="6">
        <f>157/$H$3</f>
        <v>0.17233809001097694</v>
      </c>
      <c r="J188">
        <v>70</v>
      </c>
      <c r="K188" s="6">
        <f>J188/J238</f>
        <v>0.16129032258064516</v>
      </c>
      <c r="L188" s="6">
        <f>70/$L$3</f>
        <v>0.16129032258064516</v>
      </c>
      <c r="N188">
        <v>20</v>
      </c>
      <c r="O188" s="6">
        <f>N188/N238</f>
        <v>0.24691358024691357</v>
      </c>
      <c r="P188" s="9">
        <f>20/$P$3</f>
        <v>0.24691358024691357</v>
      </c>
      <c r="R188">
        <v>90</v>
      </c>
      <c r="S188" s="6">
        <f>R188/R238</f>
        <v>0.16071428571428573</v>
      </c>
      <c r="T188" s="6">
        <f>90/$T$3</f>
        <v>0.16071428571428573</v>
      </c>
      <c r="V188">
        <v>95</v>
      </c>
      <c r="W188" s="6">
        <f>V188/V238</f>
        <v>0.17592592592592593</v>
      </c>
      <c r="X188" s="6">
        <f>95/$X$3</f>
        <v>0.17592592592592593</v>
      </c>
      <c r="Z188">
        <v>16</v>
      </c>
      <c r="AA188" s="6">
        <f>Z188/Z238</f>
        <v>0.1415929203539823</v>
      </c>
      <c r="AB188" s="6">
        <f>16/$AB$3</f>
        <v>0.1415929203539823</v>
      </c>
      <c r="AD188">
        <v>34</v>
      </c>
      <c r="AE188" s="6">
        <f>AD188/AD238</f>
        <v>0.17171717171717171</v>
      </c>
      <c r="AF188" s="6">
        <f>34/$AF$3</f>
        <v>0.17171717171717171</v>
      </c>
      <c r="AH188">
        <v>38</v>
      </c>
      <c r="AI188" s="6">
        <f>AH188/AH238</f>
        <v>0.15384615384615385</v>
      </c>
      <c r="AJ188" s="6">
        <f>38/$AJ$3</f>
        <v>0.15384615384615385</v>
      </c>
      <c r="AL188">
        <v>47</v>
      </c>
      <c r="AM188" s="6">
        <f>AL188/AL238</f>
        <v>0.20258620689655171</v>
      </c>
      <c r="AN188" s="6">
        <f>47/$AN$3</f>
        <v>0.20258620689655171</v>
      </c>
      <c r="AP188">
        <v>28</v>
      </c>
      <c r="AQ188" s="6">
        <f>AP188/AP238</f>
        <v>0.15053763440860216</v>
      </c>
      <c r="AR188" s="6">
        <f>28/$AR$3</f>
        <v>0.15053763440860216</v>
      </c>
      <c r="AT188">
        <v>22</v>
      </c>
      <c r="AU188" s="6">
        <f>AT188/AT238</f>
        <v>0.17741935483870969</v>
      </c>
      <c r="AV188" s="6">
        <f>22/$AV$3</f>
        <v>0.17741935483870969</v>
      </c>
      <c r="AX188">
        <v>66</v>
      </c>
      <c r="AY188" s="6">
        <f>AX188/AX238</f>
        <v>0.15348837209302327</v>
      </c>
      <c r="AZ188" s="6">
        <f>66/$AZ$3</f>
        <v>0.15348837209302327</v>
      </c>
      <c r="BB188">
        <v>79</v>
      </c>
      <c r="BC188" s="6">
        <f>BB188/BB238</f>
        <v>0.18457943925233644</v>
      </c>
      <c r="BD188" s="6">
        <f>79/$BD$3</f>
        <v>0.18457943925233644</v>
      </c>
      <c r="BF188">
        <v>40</v>
      </c>
      <c r="BG188" s="6">
        <f>BF188/BF238</f>
        <v>0.16528925619834711</v>
      </c>
      <c r="BH188" s="6">
        <f>40/$BH$3</f>
        <v>0.16528925619834711</v>
      </c>
      <c r="BJ188">
        <v>80</v>
      </c>
      <c r="BK188" s="6">
        <f>BJ188/BJ238</f>
        <v>0.19851116625310175</v>
      </c>
      <c r="BL188" s="6">
        <f>80/$BL$3</f>
        <v>0.19851116625310175</v>
      </c>
      <c r="BN188">
        <v>70</v>
      </c>
      <c r="BO188" s="6">
        <f>BN188/BN238</f>
        <v>0.16548463356973994</v>
      </c>
      <c r="BP188" s="6">
        <f>70/$BP$3</f>
        <v>0.16548463356973994</v>
      </c>
      <c r="BR188">
        <v>35</v>
      </c>
      <c r="BS188" s="6">
        <f>BR188/BR238</f>
        <v>0.12773722627737227</v>
      </c>
      <c r="BT188" s="6">
        <f>35/$BT$3</f>
        <v>0.12773722627737227</v>
      </c>
      <c r="BV188">
        <v>43</v>
      </c>
      <c r="BW188" s="6">
        <f>BV188/BV238</f>
        <v>0.14098360655737704</v>
      </c>
      <c r="BX188" s="6">
        <f>43/$BX$3</f>
        <v>0.14098360655737704</v>
      </c>
      <c r="BZ188">
        <v>44</v>
      </c>
      <c r="CA188" s="6">
        <f>BZ188/BZ238</f>
        <v>0.19642857142857142</v>
      </c>
      <c r="CB188" s="6">
        <f>44/$CB$3</f>
        <v>0.19642857142857142</v>
      </c>
      <c r="CD188">
        <v>48</v>
      </c>
      <c r="CE188" s="6">
        <f>CD188/CD238</f>
        <v>0.19917012448132779</v>
      </c>
      <c r="CF188" s="6">
        <f>48/$CF$3</f>
        <v>0.19917012448132779</v>
      </c>
      <c r="CH188">
        <v>50</v>
      </c>
      <c r="CI188" s="6">
        <f>CH188/CH238</f>
        <v>0.15151515151515152</v>
      </c>
      <c r="CJ188" s="6">
        <f>50/$CJ$3</f>
        <v>0.15151515151515152</v>
      </c>
    </row>
    <row r="189" spans="1:88" x14ac:dyDescent="0.35">
      <c r="A189" s="1" t="s">
        <v>521</v>
      </c>
      <c r="B189">
        <v>102</v>
      </c>
      <c r="C189" s="6">
        <f>B189/B238</f>
        <v>9.2727272727272728E-2</v>
      </c>
      <c r="D189" s="6">
        <f>102/$D$3</f>
        <v>9.2727272727272728E-2</v>
      </c>
      <c r="F189">
        <v>66</v>
      </c>
      <c r="G189" s="6">
        <f>F189/F238</f>
        <v>7.2447859495060371E-2</v>
      </c>
      <c r="H189" s="6">
        <f>66/$H$3</f>
        <v>7.2447859495060371E-2</v>
      </c>
      <c r="J189">
        <v>26</v>
      </c>
      <c r="K189" s="6">
        <f>J189/J238</f>
        <v>5.9907834101382486E-2</v>
      </c>
      <c r="L189" s="6">
        <f>26/$L$3</f>
        <v>5.9907834101382486E-2</v>
      </c>
      <c r="N189">
        <v>7</v>
      </c>
      <c r="O189" s="6">
        <f>N189/N238</f>
        <v>8.6419753086419748E-2</v>
      </c>
      <c r="P189" s="6">
        <f>7/$P$3</f>
        <v>8.6419753086419748E-2</v>
      </c>
      <c r="R189">
        <v>55</v>
      </c>
      <c r="S189" s="6">
        <f>R189/R238</f>
        <v>9.8214285714285712E-2</v>
      </c>
      <c r="T189" s="6">
        <f>55/$T$3</f>
        <v>9.8214285714285712E-2</v>
      </c>
      <c r="V189">
        <v>47</v>
      </c>
      <c r="W189" s="6">
        <f>V189/V238</f>
        <v>8.7037037037037038E-2</v>
      </c>
      <c r="X189" s="6">
        <f>47/$X$3</f>
        <v>8.7037037037037038E-2</v>
      </c>
      <c r="Z189">
        <v>9</v>
      </c>
      <c r="AA189" s="6">
        <f>Z189/Z238</f>
        <v>7.9646017699115043E-2</v>
      </c>
      <c r="AB189" s="6">
        <f>9/$AB$3</f>
        <v>7.9646017699115043E-2</v>
      </c>
      <c r="AD189">
        <v>8</v>
      </c>
      <c r="AE189" s="6">
        <f>AD189/AD238</f>
        <v>4.0404040404040407E-2</v>
      </c>
      <c r="AF189" s="8">
        <f>8/$AF$3</f>
        <v>4.0404040404040407E-2</v>
      </c>
      <c r="AH189">
        <v>21</v>
      </c>
      <c r="AI189" s="6">
        <f>AH189/AH238</f>
        <v>8.5020242914979755E-2</v>
      </c>
      <c r="AJ189" s="6">
        <f>21/$AJ$3</f>
        <v>8.5020242914979755E-2</v>
      </c>
      <c r="AL189">
        <v>19</v>
      </c>
      <c r="AM189" s="6">
        <f>AL189/AL238</f>
        <v>8.1896551724137928E-2</v>
      </c>
      <c r="AN189" s="6">
        <f>19/$AN$3</f>
        <v>8.1896551724137928E-2</v>
      </c>
      <c r="AP189">
        <v>32</v>
      </c>
      <c r="AQ189" s="6">
        <f>AP189/AP238</f>
        <v>0.17204301075268819</v>
      </c>
      <c r="AR189" s="9">
        <f>32/$AR$3</f>
        <v>0.17204301075268819</v>
      </c>
      <c r="AS189" s="7"/>
      <c r="AT189">
        <v>13</v>
      </c>
      <c r="AU189" s="6">
        <f>AT189/AT238</f>
        <v>0.10483870967741936</v>
      </c>
      <c r="AV189" s="6">
        <f>13/$AV$3</f>
        <v>0.10483870967741936</v>
      </c>
      <c r="AX189">
        <v>45</v>
      </c>
      <c r="AY189" s="6">
        <f>AX189/AX238</f>
        <v>0.10465116279069768</v>
      </c>
      <c r="AZ189" s="6">
        <f>45/$AZ$3</f>
        <v>0.10465116279069768</v>
      </c>
      <c r="BB189">
        <v>35</v>
      </c>
      <c r="BC189" s="6">
        <f>BB189/BB238</f>
        <v>8.1775700934579434E-2</v>
      </c>
      <c r="BD189" s="6">
        <f>35/$BD$3</f>
        <v>8.1775700934579434E-2</v>
      </c>
      <c r="BF189">
        <v>22</v>
      </c>
      <c r="BG189" s="6">
        <f>BF189/BF238</f>
        <v>9.0909090909090912E-2</v>
      </c>
      <c r="BH189" s="6">
        <f>22/$BH$3</f>
        <v>9.0909090909090912E-2</v>
      </c>
      <c r="BJ189">
        <v>46</v>
      </c>
      <c r="BK189" s="6">
        <f>BJ189/BJ238</f>
        <v>0.11414392059553349</v>
      </c>
      <c r="BL189" s="6">
        <f>46/$BL$3</f>
        <v>0.11414392059553349</v>
      </c>
      <c r="BN189">
        <v>37</v>
      </c>
      <c r="BO189" s="6">
        <f>BN189/BN238</f>
        <v>8.7470449172576833E-2</v>
      </c>
      <c r="BP189" s="6">
        <f>37/$BP$3</f>
        <v>8.7470449172576833E-2</v>
      </c>
      <c r="BR189">
        <v>19</v>
      </c>
      <c r="BS189" s="6">
        <f>BR189/BR238</f>
        <v>6.9343065693430656E-2</v>
      </c>
      <c r="BT189" s="6">
        <f>19/$BT$3</f>
        <v>6.9343065693430656E-2</v>
      </c>
      <c r="BV189">
        <v>29</v>
      </c>
      <c r="BW189" s="6">
        <f>BV189/BV238</f>
        <v>9.5081967213114751E-2</v>
      </c>
      <c r="BX189" s="6">
        <f>29/$BX$3</f>
        <v>9.5081967213114751E-2</v>
      </c>
      <c r="BZ189">
        <v>21</v>
      </c>
      <c r="CA189" s="6">
        <f>BZ189/BZ238</f>
        <v>9.375E-2</v>
      </c>
      <c r="CB189" s="6">
        <f>21/$CB$3</f>
        <v>9.375E-2</v>
      </c>
      <c r="CD189">
        <v>19</v>
      </c>
      <c r="CE189" s="6">
        <f>CD189/CD238</f>
        <v>7.8838174273858919E-2</v>
      </c>
      <c r="CF189" s="6">
        <f>19/$CF$3</f>
        <v>7.8838174273858919E-2</v>
      </c>
      <c r="CH189">
        <v>33</v>
      </c>
      <c r="CI189" s="6">
        <f>CH189/CH238</f>
        <v>0.1</v>
      </c>
      <c r="CJ189" s="6">
        <f>33/$CJ$3</f>
        <v>0.1</v>
      </c>
    </row>
    <row r="191" spans="1:88" x14ac:dyDescent="0.35">
      <c r="A191" s="1" t="s">
        <v>522</v>
      </c>
      <c r="B191">
        <v>108</v>
      </c>
      <c r="C191" s="6">
        <f>B191/B238</f>
        <v>9.8181818181818176E-2</v>
      </c>
      <c r="D191" s="6">
        <f>108/$D$3</f>
        <v>9.8181818181818176E-2</v>
      </c>
      <c r="F191">
        <v>97</v>
      </c>
      <c r="G191" s="6">
        <f>F191/F238</f>
        <v>0.10647639956092206</v>
      </c>
      <c r="H191" s="6">
        <f>97/$H$3</f>
        <v>0.10647639956092206</v>
      </c>
      <c r="J191">
        <v>59</v>
      </c>
      <c r="K191" s="6">
        <f>J191/J238</f>
        <v>0.13594470046082949</v>
      </c>
      <c r="L191" s="6">
        <f>59/$L$3</f>
        <v>0.13594470046082949</v>
      </c>
      <c r="N191">
        <v>8</v>
      </c>
      <c r="O191" s="6">
        <f>N191/N238</f>
        <v>9.8765432098765427E-2</v>
      </c>
      <c r="P191" s="6">
        <f>8/$P$3</f>
        <v>9.8765432098765427E-2</v>
      </c>
      <c r="R191">
        <v>51</v>
      </c>
      <c r="S191" s="6">
        <f>R191/R238</f>
        <v>9.1071428571428567E-2</v>
      </c>
      <c r="T191" s="6">
        <f>51/$T$3</f>
        <v>9.1071428571428567E-2</v>
      </c>
      <c r="V191">
        <v>57</v>
      </c>
      <c r="W191" s="6">
        <f>V191/V238</f>
        <v>0.10555555555555556</v>
      </c>
      <c r="X191" s="6">
        <f>57/$X$3</f>
        <v>0.10555555555555556</v>
      </c>
      <c r="Z191">
        <v>14</v>
      </c>
      <c r="AA191" s="6">
        <f>Z191/Z238</f>
        <v>0.12389380530973451</v>
      </c>
      <c r="AB191" s="6">
        <f>14/$AB$3</f>
        <v>0.12389380530973451</v>
      </c>
      <c r="AC191" s="7"/>
      <c r="AD191">
        <v>27</v>
      </c>
      <c r="AE191" s="6">
        <f>AD191/AD238</f>
        <v>0.13636363636363635</v>
      </c>
      <c r="AF191" s="6">
        <f>27/$AF$3</f>
        <v>0.13636363636363635</v>
      </c>
      <c r="AG191" s="7"/>
      <c r="AH191">
        <v>44</v>
      </c>
      <c r="AI191" s="6">
        <f>AH191/AH238</f>
        <v>0.17813765182186234</v>
      </c>
      <c r="AJ191" s="9">
        <f>44/$AJ$3</f>
        <v>0.17813765182186234</v>
      </c>
      <c r="AK191" s="7"/>
      <c r="AL191">
        <v>14</v>
      </c>
      <c r="AM191" s="6">
        <f>AL191/AL238</f>
        <v>6.0344827586206899E-2</v>
      </c>
      <c r="AN191" s="6">
        <f>14/$AN$3</f>
        <v>6.0344827586206899E-2</v>
      </c>
      <c r="AP191">
        <v>7</v>
      </c>
      <c r="AQ191" s="6">
        <f>AP191/AP238</f>
        <v>3.7634408602150539E-2</v>
      </c>
      <c r="AR191" s="8">
        <f>7/$AR$3</f>
        <v>3.7634408602150539E-2</v>
      </c>
      <c r="AT191">
        <v>2</v>
      </c>
      <c r="AU191" s="6">
        <f>AT191/AT238</f>
        <v>1.6129032258064516E-2</v>
      </c>
      <c r="AV191" s="8">
        <f>2/$AV$3</f>
        <v>1.6129032258064516E-2</v>
      </c>
      <c r="AX191">
        <v>60</v>
      </c>
      <c r="AY191" s="6">
        <f>AX191/AX238</f>
        <v>0.13953488372093023</v>
      </c>
      <c r="AZ191" s="6">
        <f>60/$AZ$3</f>
        <v>0.13953488372093023</v>
      </c>
      <c r="BA191" s="7" t="s">
        <v>5</v>
      </c>
      <c r="BB191">
        <v>35</v>
      </c>
      <c r="BC191" s="6">
        <f>BB191/BB238</f>
        <v>8.1775700934579434E-2</v>
      </c>
      <c r="BD191" s="6">
        <f>35/$BD$3</f>
        <v>8.1775700934579434E-2</v>
      </c>
      <c r="BF191">
        <v>13</v>
      </c>
      <c r="BG191" s="6">
        <f>BF191/BF238</f>
        <v>5.3719008264462811E-2</v>
      </c>
      <c r="BH191" s="6">
        <f>13/$BH$3</f>
        <v>5.3719008264462811E-2</v>
      </c>
      <c r="BJ191">
        <v>51</v>
      </c>
      <c r="BK191" s="6">
        <f>BJ191/BJ238</f>
        <v>0.12655086848635236</v>
      </c>
      <c r="BL191" s="6">
        <f>51/$BL$3</f>
        <v>0.12655086848635236</v>
      </c>
      <c r="BM191" s="7" t="s">
        <v>5</v>
      </c>
      <c r="BN191">
        <v>40</v>
      </c>
      <c r="BO191" s="6">
        <f>BN191/BN238</f>
        <v>9.4562647754137114E-2</v>
      </c>
      <c r="BP191" s="6">
        <f>40/$BP$3</f>
        <v>9.4562647754137114E-2</v>
      </c>
      <c r="BR191">
        <v>17</v>
      </c>
      <c r="BS191" s="6">
        <f>BR191/BR238</f>
        <v>6.2043795620437957E-2</v>
      </c>
      <c r="BT191" s="6">
        <f>17/$BT$3</f>
        <v>6.2043795620437957E-2</v>
      </c>
      <c r="BV191">
        <v>36</v>
      </c>
      <c r="BW191" s="6">
        <f>BV191/BV238</f>
        <v>0.11803278688524591</v>
      </c>
      <c r="BX191" s="6">
        <f>36/$BX$3</f>
        <v>0.11803278688524591</v>
      </c>
      <c r="BZ191">
        <v>16</v>
      </c>
      <c r="CA191" s="6">
        <f>BZ191/BZ238</f>
        <v>7.1428571428571425E-2</v>
      </c>
      <c r="CB191" s="6">
        <f>16/$CB$3</f>
        <v>7.1428571428571425E-2</v>
      </c>
      <c r="CD191">
        <v>22</v>
      </c>
      <c r="CE191" s="6">
        <f>CD191/CD238</f>
        <v>9.1286307053941904E-2</v>
      </c>
      <c r="CF191" s="6">
        <f>22/$CF$3</f>
        <v>9.1286307053941904E-2</v>
      </c>
      <c r="CH191">
        <v>34</v>
      </c>
      <c r="CI191" s="6">
        <f>CH191/CH238</f>
        <v>0.10303030303030303</v>
      </c>
      <c r="CJ191" s="6">
        <f>34/$CJ$3</f>
        <v>0.10303030303030303</v>
      </c>
    </row>
    <row r="192" spans="1:88" x14ac:dyDescent="0.35">
      <c r="A192" s="1" t="s">
        <v>523</v>
      </c>
      <c r="B192">
        <v>247</v>
      </c>
      <c r="C192" s="6">
        <f>B192/B238</f>
        <v>0.22454545454545455</v>
      </c>
      <c r="D192" s="6">
        <f>247/$D$3</f>
        <v>0.22454545454545455</v>
      </c>
      <c r="F192">
        <v>214</v>
      </c>
      <c r="G192" s="6">
        <f>F192/F238</f>
        <v>0.23490669593852909</v>
      </c>
      <c r="H192" s="6">
        <f>214/$H$3</f>
        <v>0.23490669593852909</v>
      </c>
      <c r="J192">
        <v>109</v>
      </c>
      <c r="K192" s="6">
        <f>J192/J238</f>
        <v>0.25115207373271892</v>
      </c>
      <c r="L192" s="6">
        <f>109/$L$3</f>
        <v>0.25115207373271892</v>
      </c>
      <c r="N192">
        <v>17</v>
      </c>
      <c r="O192" s="6">
        <f>N192/N238</f>
        <v>0.20987654320987653</v>
      </c>
      <c r="P192" s="6">
        <f>17/$P$3</f>
        <v>0.20987654320987653</v>
      </c>
      <c r="R192">
        <v>134</v>
      </c>
      <c r="S192" s="6">
        <f>R192/R238</f>
        <v>0.2392857142857143</v>
      </c>
      <c r="T192" s="6">
        <f>134/$T$3</f>
        <v>0.2392857142857143</v>
      </c>
      <c r="V192">
        <v>113</v>
      </c>
      <c r="W192" s="6">
        <f>V192/V238</f>
        <v>0.20925925925925926</v>
      </c>
      <c r="X192" s="6">
        <f>113/$X$3</f>
        <v>0.20925925925925926</v>
      </c>
      <c r="Z192">
        <v>14</v>
      </c>
      <c r="AA192" s="6">
        <f>Z192/Z238</f>
        <v>0.12389380530973451</v>
      </c>
      <c r="AB192" s="8">
        <f>14/$AB$3</f>
        <v>0.12389380530973451</v>
      </c>
      <c r="AD192">
        <v>63</v>
      </c>
      <c r="AE192" s="6">
        <f>AD192/AD238</f>
        <v>0.31818181818181818</v>
      </c>
      <c r="AF192" s="9">
        <f>63/$AF$3</f>
        <v>0.31818181818181818</v>
      </c>
      <c r="AG192" s="7"/>
      <c r="AH192">
        <v>80</v>
      </c>
      <c r="AI192" s="6">
        <f>AH192/AH238</f>
        <v>0.32388663967611336</v>
      </c>
      <c r="AJ192" s="9">
        <f>80/$AJ$3</f>
        <v>0.32388663967611336</v>
      </c>
      <c r="AK192" s="7"/>
      <c r="AL192">
        <v>42</v>
      </c>
      <c r="AM192" s="6">
        <f>AL192/AL238</f>
        <v>0.18103448275862069</v>
      </c>
      <c r="AN192" s="6">
        <f>42/$AN$3</f>
        <v>0.18103448275862069</v>
      </c>
      <c r="AP192">
        <v>25</v>
      </c>
      <c r="AQ192" s="6">
        <f>AP192/AP238</f>
        <v>0.13440860215053763</v>
      </c>
      <c r="AR192" s="8">
        <f>25/$AR$3</f>
        <v>0.13440860215053763</v>
      </c>
      <c r="AT192">
        <v>23</v>
      </c>
      <c r="AU192" s="6">
        <f>AT192/AT238</f>
        <v>0.18548387096774194</v>
      </c>
      <c r="AV192" s="6">
        <f>23/$AV$3</f>
        <v>0.18548387096774194</v>
      </c>
      <c r="AX192">
        <v>87</v>
      </c>
      <c r="AY192" s="6">
        <f>AX192/AX238</f>
        <v>0.20232558139534884</v>
      </c>
      <c r="AZ192" s="6">
        <f>87/$AZ$3</f>
        <v>0.20232558139534884</v>
      </c>
      <c r="BB192">
        <v>103</v>
      </c>
      <c r="BC192" s="6">
        <f>BB192/BB238</f>
        <v>0.24065420560747663</v>
      </c>
      <c r="BD192" s="6">
        <f>103/$BD$3</f>
        <v>0.24065420560747663</v>
      </c>
      <c r="BF192">
        <v>57</v>
      </c>
      <c r="BG192" s="6">
        <f>BF192/BF238</f>
        <v>0.23553719008264462</v>
      </c>
      <c r="BH192" s="6">
        <f>57/$BH$3</f>
        <v>0.23553719008264462</v>
      </c>
      <c r="BJ192">
        <v>114</v>
      </c>
      <c r="BK192" s="6">
        <f>BJ192/BJ238</f>
        <v>0.28287841191066998</v>
      </c>
      <c r="BL192" s="9">
        <f>114/$BL$3</f>
        <v>0.28287841191066998</v>
      </c>
      <c r="BM192" s="7" t="s">
        <v>410</v>
      </c>
      <c r="BN192">
        <v>81</v>
      </c>
      <c r="BO192" s="6">
        <f>BN192/BN238</f>
        <v>0.19148936170212766</v>
      </c>
      <c r="BP192" s="6">
        <f>81/$BP$3</f>
        <v>0.19148936170212766</v>
      </c>
      <c r="BR192">
        <v>52</v>
      </c>
      <c r="BS192" s="6">
        <f>BR192/BR238</f>
        <v>0.18978102189781021</v>
      </c>
      <c r="BT192" s="6">
        <f>52/$BT$3</f>
        <v>0.18978102189781021</v>
      </c>
      <c r="BV192">
        <v>75</v>
      </c>
      <c r="BW192" s="6">
        <f>BV192/BV238</f>
        <v>0.24590163934426229</v>
      </c>
      <c r="BX192" s="6">
        <f>75/$BX$3</f>
        <v>0.24590163934426229</v>
      </c>
      <c r="BZ192">
        <v>58</v>
      </c>
      <c r="CA192" s="6">
        <f>BZ192/BZ238</f>
        <v>0.25892857142857145</v>
      </c>
      <c r="CB192" s="6">
        <f>58/$CB$3</f>
        <v>0.25892857142857145</v>
      </c>
      <c r="CD192">
        <v>53</v>
      </c>
      <c r="CE192" s="6">
        <f>CD192/CD238</f>
        <v>0.21991701244813278</v>
      </c>
      <c r="CF192" s="6">
        <f>53/$CF$3</f>
        <v>0.21991701244813278</v>
      </c>
      <c r="CH192">
        <v>61</v>
      </c>
      <c r="CI192" s="6">
        <f>CH192/CH238</f>
        <v>0.18484848484848485</v>
      </c>
      <c r="CJ192" s="6">
        <f>61/$CJ$3</f>
        <v>0.18484848484848485</v>
      </c>
    </row>
    <row r="193" spans="1:88" x14ac:dyDescent="0.35">
      <c r="A193" s="1" t="s">
        <v>524</v>
      </c>
      <c r="B193">
        <v>240</v>
      </c>
      <c r="C193" s="6">
        <f>B193/B238</f>
        <v>0.21818181818181817</v>
      </c>
      <c r="D193" s="6">
        <f>240/$D$3</f>
        <v>0.21818181818181817</v>
      </c>
      <c r="F193">
        <v>206</v>
      </c>
      <c r="G193" s="6">
        <f>F193/F238</f>
        <v>0.22612513721185509</v>
      </c>
      <c r="H193" s="6">
        <f>206/$H$3</f>
        <v>0.22612513721185509</v>
      </c>
      <c r="J193">
        <v>105</v>
      </c>
      <c r="K193" s="6">
        <f>J193/J238</f>
        <v>0.24193548387096775</v>
      </c>
      <c r="L193" s="6">
        <f>105/$L$3</f>
        <v>0.24193548387096775</v>
      </c>
      <c r="N193">
        <v>20</v>
      </c>
      <c r="O193" s="6">
        <f>N193/N238</f>
        <v>0.24691358024691357</v>
      </c>
      <c r="P193" s="6">
        <f>20/$P$3</f>
        <v>0.24691358024691357</v>
      </c>
      <c r="R193">
        <v>110</v>
      </c>
      <c r="S193" s="6">
        <f>R193/R238</f>
        <v>0.19642857142857142</v>
      </c>
      <c r="T193" s="6">
        <f>110/$T$3</f>
        <v>0.19642857142857142</v>
      </c>
      <c r="V193">
        <v>130</v>
      </c>
      <c r="W193" s="6">
        <f>V193/V238</f>
        <v>0.24074074074074073</v>
      </c>
      <c r="X193" s="6">
        <f>130/$X$3</f>
        <v>0.24074074074074073</v>
      </c>
      <c r="Z193">
        <v>25</v>
      </c>
      <c r="AA193" s="6">
        <f>Z193/Z238</f>
        <v>0.22123893805309736</v>
      </c>
      <c r="AB193" s="6">
        <f>25/$AB$3</f>
        <v>0.22123893805309736</v>
      </c>
      <c r="AD193">
        <v>44</v>
      </c>
      <c r="AE193" s="6">
        <f>AD193/AD238</f>
        <v>0.22222222222222221</v>
      </c>
      <c r="AF193" s="6">
        <f>44/$AF$3</f>
        <v>0.22222222222222221</v>
      </c>
      <c r="AH193">
        <v>56</v>
      </c>
      <c r="AI193" s="6">
        <f>AH193/AH238</f>
        <v>0.22672064777327935</v>
      </c>
      <c r="AJ193" s="6">
        <f>56/$AJ$3</f>
        <v>0.22672064777327935</v>
      </c>
      <c r="AL193">
        <v>57</v>
      </c>
      <c r="AM193" s="6">
        <f>AL193/AL238</f>
        <v>0.24568965517241378</v>
      </c>
      <c r="AN193" s="6">
        <f>57/$AN$3</f>
        <v>0.24568965517241378</v>
      </c>
      <c r="AP193">
        <v>39</v>
      </c>
      <c r="AQ193" s="6">
        <f>AP193/AP238</f>
        <v>0.20967741935483872</v>
      </c>
      <c r="AR193" s="6">
        <f>39/$AR$3</f>
        <v>0.20967741935483872</v>
      </c>
      <c r="AT193">
        <v>19</v>
      </c>
      <c r="AU193" s="6">
        <f>AT193/AT238</f>
        <v>0.15322580645161291</v>
      </c>
      <c r="AV193" s="6">
        <f>19/$AV$3</f>
        <v>0.15322580645161291</v>
      </c>
      <c r="AX193">
        <v>88</v>
      </c>
      <c r="AY193" s="6">
        <f>AX193/AX238</f>
        <v>0.20465116279069767</v>
      </c>
      <c r="AZ193" s="6">
        <f>88/$AZ$3</f>
        <v>0.20465116279069767</v>
      </c>
      <c r="BB193">
        <v>97</v>
      </c>
      <c r="BC193" s="6">
        <f>BB193/BB238</f>
        <v>0.22663551401869159</v>
      </c>
      <c r="BD193" s="6">
        <f>97/$BD$3</f>
        <v>0.22663551401869159</v>
      </c>
      <c r="BF193">
        <v>55</v>
      </c>
      <c r="BG193" s="6">
        <f>BF193/BF238</f>
        <v>0.22727272727272727</v>
      </c>
      <c r="BH193" s="6">
        <f>55/$BH$3</f>
        <v>0.22727272727272727</v>
      </c>
      <c r="BJ193">
        <v>88</v>
      </c>
      <c r="BK193" s="6">
        <f>BJ193/BJ238</f>
        <v>0.21836228287841192</v>
      </c>
      <c r="BL193" s="6">
        <f>88/$BL$3</f>
        <v>0.21836228287841192</v>
      </c>
      <c r="BN193">
        <v>92</v>
      </c>
      <c r="BO193" s="6">
        <f>BN193/BN238</f>
        <v>0.21749408983451538</v>
      </c>
      <c r="BP193" s="6">
        <f>92/$BP$3</f>
        <v>0.21749408983451538</v>
      </c>
      <c r="BR193">
        <v>60</v>
      </c>
      <c r="BS193" s="6">
        <f>BR193/BR238</f>
        <v>0.21897810218978103</v>
      </c>
      <c r="BT193" s="6">
        <f>60/$BT$3</f>
        <v>0.21897810218978103</v>
      </c>
      <c r="BV193">
        <v>62</v>
      </c>
      <c r="BW193" s="6">
        <f>BV193/BV238</f>
        <v>0.20327868852459016</v>
      </c>
      <c r="BX193" s="6">
        <f>62/$BX$3</f>
        <v>0.20327868852459016</v>
      </c>
      <c r="BZ193">
        <v>54</v>
      </c>
      <c r="CA193" s="6">
        <f>BZ193/BZ238</f>
        <v>0.24107142857142858</v>
      </c>
      <c r="CB193" s="6">
        <f>54/$CB$3</f>
        <v>0.24107142857142858</v>
      </c>
      <c r="CD193">
        <v>60</v>
      </c>
      <c r="CE193" s="6">
        <f>CD193/CD238</f>
        <v>0.24896265560165975</v>
      </c>
      <c r="CF193" s="6">
        <f>60/$CF$3</f>
        <v>0.24896265560165975</v>
      </c>
      <c r="CH193">
        <v>64</v>
      </c>
      <c r="CI193" s="6">
        <f>CH193/CH238</f>
        <v>0.19393939393939394</v>
      </c>
      <c r="CJ193" s="6">
        <f>64/$CJ$3</f>
        <v>0.19393939393939394</v>
      </c>
    </row>
    <row r="194" spans="1:88" x14ac:dyDescent="0.35">
      <c r="A194" s="1" t="s">
        <v>525</v>
      </c>
      <c r="B194">
        <v>505</v>
      </c>
      <c r="C194" s="6">
        <f>B194/B238</f>
        <v>0.45909090909090911</v>
      </c>
      <c r="D194" s="6">
        <f>505/$D$3</f>
        <v>0.45909090909090911</v>
      </c>
      <c r="F194">
        <v>394</v>
      </c>
      <c r="G194" s="6">
        <f>F194/F238</f>
        <v>0.43249176728869376</v>
      </c>
      <c r="H194" s="6">
        <f>394/$H$3</f>
        <v>0.43249176728869376</v>
      </c>
      <c r="J194">
        <v>161</v>
      </c>
      <c r="K194" s="6">
        <f>J194/J238</f>
        <v>0.37096774193548387</v>
      </c>
      <c r="L194" s="8">
        <f>161/$L$3</f>
        <v>0.37096774193548387</v>
      </c>
      <c r="N194">
        <v>36</v>
      </c>
      <c r="O194" s="6">
        <f>N194/N238</f>
        <v>0.44444444444444442</v>
      </c>
      <c r="P194" s="6">
        <f>36/$P$3</f>
        <v>0.44444444444444442</v>
      </c>
      <c r="R194">
        <v>265</v>
      </c>
      <c r="S194" s="6">
        <f>R194/R238</f>
        <v>0.4732142857142857</v>
      </c>
      <c r="T194" s="6">
        <f>265/$T$3</f>
        <v>0.4732142857142857</v>
      </c>
      <c r="V194">
        <v>240</v>
      </c>
      <c r="W194" s="6">
        <f>V194/V238</f>
        <v>0.44444444444444442</v>
      </c>
      <c r="X194" s="6">
        <f>240/$X$3</f>
        <v>0.44444444444444442</v>
      </c>
      <c r="Z194">
        <v>60</v>
      </c>
      <c r="AA194" s="6">
        <f>Z194/Z238</f>
        <v>0.53097345132743368</v>
      </c>
      <c r="AB194" s="6">
        <f>60/$AB$3</f>
        <v>0.53097345132743368</v>
      </c>
      <c r="AC194" s="7"/>
      <c r="AD194">
        <v>64</v>
      </c>
      <c r="AE194" s="6">
        <f>AD194/AD238</f>
        <v>0.32323232323232326</v>
      </c>
      <c r="AF194" s="8">
        <f>64/$AF$3</f>
        <v>0.32323232323232326</v>
      </c>
      <c r="AH194">
        <v>67</v>
      </c>
      <c r="AI194" s="6">
        <f>AH194/AH238</f>
        <v>0.27125506072874495</v>
      </c>
      <c r="AJ194" s="8">
        <f>67/$AJ$3</f>
        <v>0.27125506072874495</v>
      </c>
      <c r="AL194">
        <v>119</v>
      </c>
      <c r="AM194" s="6">
        <f>AL194/AL238</f>
        <v>0.51293103448275867</v>
      </c>
      <c r="AN194" s="6">
        <f>119/$AN$3</f>
        <v>0.51293103448275867</v>
      </c>
      <c r="AO194" s="7"/>
      <c r="AP194">
        <v>115</v>
      </c>
      <c r="AQ194" s="6">
        <f>AP194/AP238</f>
        <v>0.61827956989247312</v>
      </c>
      <c r="AR194" s="9">
        <f>115/$AR$3</f>
        <v>0.61827956989247312</v>
      </c>
      <c r="AS194" s="7"/>
      <c r="AT194">
        <v>80</v>
      </c>
      <c r="AU194" s="6">
        <f>AT194/AT238</f>
        <v>0.64516129032258063</v>
      </c>
      <c r="AV194" s="9">
        <f>80/$AV$3</f>
        <v>0.64516129032258063</v>
      </c>
      <c r="AW194" s="7"/>
      <c r="AX194">
        <v>195</v>
      </c>
      <c r="AY194" s="6">
        <f>AX194/AX238</f>
        <v>0.45348837209302323</v>
      </c>
      <c r="AZ194" s="6">
        <f>195/$AZ$3</f>
        <v>0.45348837209302323</v>
      </c>
      <c r="BB194">
        <v>193</v>
      </c>
      <c r="BC194" s="6">
        <f>BB194/BB238</f>
        <v>0.45093457943925236</v>
      </c>
      <c r="BD194" s="6">
        <f>193/$BD$3</f>
        <v>0.45093457943925236</v>
      </c>
      <c r="BF194">
        <v>117</v>
      </c>
      <c r="BG194" s="6">
        <f>BF194/BF238</f>
        <v>0.48347107438016529</v>
      </c>
      <c r="BH194" s="6">
        <f>117/$BH$3</f>
        <v>0.48347107438016529</v>
      </c>
      <c r="BJ194">
        <v>150</v>
      </c>
      <c r="BK194" s="6">
        <f>BJ194/BJ238</f>
        <v>0.37220843672456577</v>
      </c>
      <c r="BL194" s="8">
        <f>150/$BL$3</f>
        <v>0.37220843672456577</v>
      </c>
      <c r="BN194">
        <v>210</v>
      </c>
      <c r="BO194" s="6">
        <f>BN194/BN238</f>
        <v>0.49645390070921985</v>
      </c>
      <c r="BP194" s="6">
        <f>210/$BP$3</f>
        <v>0.49645390070921985</v>
      </c>
      <c r="BQ194" s="7"/>
      <c r="BR194">
        <v>145</v>
      </c>
      <c r="BS194" s="6">
        <f>BR194/BR238</f>
        <v>0.52919708029197077</v>
      </c>
      <c r="BT194" s="9">
        <f>145/$BT$3</f>
        <v>0.52919708029197077</v>
      </c>
      <c r="BU194" s="7"/>
      <c r="BV194">
        <v>132</v>
      </c>
      <c r="BW194" s="6">
        <f>BV194/BV238</f>
        <v>0.43278688524590164</v>
      </c>
      <c r="BX194" s="6">
        <f>132/$BX$3</f>
        <v>0.43278688524590164</v>
      </c>
      <c r="BZ194">
        <v>96</v>
      </c>
      <c r="CA194" s="6">
        <f>BZ194/BZ238</f>
        <v>0.42857142857142855</v>
      </c>
      <c r="CB194" s="6">
        <f>96/$CB$3</f>
        <v>0.42857142857142855</v>
      </c>
      <c r="CD194">
        <v>106</v>
      </c>
      <c r="CE194" s="6">
        <f>CD194/CD238</f>
        <v>0.43983402489626555</v>
      </c>
      <c r="CF194" s="6">
        <f>106/$CF$3</f>
        <v>0.43983402489626555</v>
      </c>
      <c r="CH194">
        <v>171</v>
      </c>
      <c r="CI194" s="6">
        <f>CH194/CH238</f>
        <v>0.51818181818181819</v>
      </c>
      <c r="CJ194" s="9">
        <f>171/$CJ$3</f>
        <v>0.51818181818181819</v>
      </c>
    </row>
    <row r="196" spans="1:88" x14ac:dyDescent="0.35">
      <c r="A196" s="1" t="s">
        <v>526</v>
      </c>
      <c r="B196">
        <v>143</v>
      </c>
      <c r="C196" s="6">
        <f>B196/B238</f>
        <v>0.13</v>
      </c>
      <c r="D196" s="6">
        <f>143/$D$3</f>
        <v>0.13</v>
      </c>
      <c r="F196">
        <v>130</v>
      </c>
      <c r="G196" s="6">
        <f>F196/F238</f>
        <v>0.14270032930845225</v>
      </c>
      <c r="H196" s="6">
        <f>130/$H$3</f>
        <v>0.14270032930845225</v>
      </c>
      <c r="J196">
        <v>76</v>
      </c>
      <c r="K196" s="6">
        <f>J196/J238</f>
        <v>0.17511520737327188</v>
      </c>
      <c r="L196" s="6">
        <f>76/$L$3</f>
        <v>0.17511520737327188</v>
      </c>
      <c r="N196">
        <v>14</v>
      </c>
      <c r="O196" s="6">
        <f>N196/N238</f>
        <v>0.1728395061728395</v>
      </c>
      <c r="P196" s="6">
        <f>14/$P$3</f>
        <v>0.1728395061728395</v>
      </c>
      <c r="R196">
        <v>107</v>
      </c>
      <c r="S196" s="6">
        <f>R196/R238</f>
        <v>0.19107142857142856</v>
      </c>
      <c r="T196" s="9">
        <f>107/$T$3</f>
        <v>0.19107142857142856</v>
      </c>
      <c r="V196">
        <v>36</v>
      </c>
      <c r="W196" s="6">
        <f>V196/V238</f>
        <v>6.6666666666666666E-2</v>
      </c>
      <c r="X196" s="8">
        <f>36/$X$3</f>
        <v>6.6666666666666666E-2</v>
      </c>
      <c r="Z196">
        <v>21</v>
      </c>
      <c r="AA196" s="6">
        <f>Z196/Z238</f>
        <v>0.18584070796460178</v>
      </c>
      <c r="AB196" s="6">
        <f>21/$AB$3</f>
        <v>0.18584070796460178</v>
      </c>
      <c r="AD196">
        <v>29</v>
      </c>
      <c r="AE196" s="6">
        <f>AD196/AD238</f>
        <v>0.14646464646464646</v>
      </c>
      <c r="AF196" s="6">
        <f>29/$AF$3</f>
        <v>0.14646464646464646</v>
      </c>
      <c r="AH196">
        <v>24</v>
      </c>
      <c r="AI196" s="6">
        <f>AH196/AH238</f>
        <v>9.7165991902834009E-2</v>
      </c>
      <c r="AJ196" s="6">
        <f>24/$AJ$3</f>
        <v>9.7165991902834009E-2</v>
      </c>
      <c r="AL196">
        <v>31</v>
      </c>
      <c r="AM196" s="6">
        <f>AL196/AL238</f>
        <v>0.1336206896551724</v>
      </c>
      <c r="AN196" s="6">
        <f>31/$AN$3</f>
        <v>0.1336206896551724</v>
      </c>
      <c r="AP196">
        <v>22</v>
      </c>
      <c r="AQ196" s="6">
        <f>AP196/AP238</f>
        <v>0.11827956989247312</v>
      </c>
      <c r="AR196" s="6">
        <f>22/$AR$3</f>
        <v>0.11827956989247312</v>
      </c>
      <c r="AT196">
        <v>16</v>
      </c>
      <c r="AU196" s="6">
        <f>AT196/AT238</f>
        <v>0.12903225806451613</v>
      </c>
      <c r="AV196" s="6">
        <f>16/$AV$3</f>
        <v>0.12903225806451613</v>
      </c>
      <c r="AX196">
        <v>57</v>
      </c>
      <c r="AY196" s="6">
        <f>AX196/AX238</f>
        <v>0.13255813953488371</v>
      </c>
      <c r="AZ196" s="6">
        <f>57/$AZ$3</f>
        <v>0.13255813953488371</v>
      </c>
      <c r="BB196">
        <v>53</v>
      </c>
      <c r="BC196" s="6">
        <f>BB196/BB238</f>
        <v>0.12383177570093458</v>
      </c>
      <c r="BD196" s="6">
        <f>53/$BD$3</f>
        <v>0.12383177570093458</v>
      </c>
      <c r="BF196">
        <v>33</v>
      </c>
      <c r="BG196" s="6">
        <f>BF196/BF238</f>
        <v>0.13636363636363635</v>
      </c>
      <c r="BH196" s="6">
        <f>33/$BH$3</f>
        <v>0.13636363636363635</v>
      </c>
      <c r="BJ196">
        <v>38</v>
      </c>
      <c r="BK196" s="6">
        <f>BJ196/BJ238</f>
        <v>9.4292803970223327E-2</v>
      </c>
      <c r="BL196" s="6">
        <f>38/$BL$3</f>
        <v>9.4292803970223327E-2</v>
      </c>
      <c r="BN196">
        <v>55</v>
      </c>
      <c r="BO196" s="6">
        <f>BN196/BN238</f>
        <v>0.13002364066193853</v>
      </c>
      <c r="BP196" s="6">
        <f>55/$BP$3</f>
        <v>0.13002364066193853</v>
      </c>
      <c r="BR196">
        <v>50</v>
      </c>
      <c r="BS196" s="6">
        <f>BR196/BR238</f>
        <v>0.18248175182481752</v>
      </c>
      <c r="BT196" s="9">
        <f>50/$BT$3</f>
        <v>0.18248175182481752</v>
      </c>
      <c r="BU196" s="7"/>
      <c r="BV196">
        <v>42</v>
      </c>
      <c r="BW196" s="6">
        <f>BV196/BV238</f>
        <v>0.13770491803278689</v>
      </c>
      <c r="BX196" s="6">
        <f>42/$BX$3</f>
        <v>0.13770491803278689</v>
      </c>
      <c r="BZ196">
        <v>31</v>
      </c>
      <c r="CA196" s="6">
        <f>BZ196/BZ238</f>
        <v>0.13839285714285715</v>
      </c>
      <c r="CB196" s="6">
        <f>31/$CB$3</f>
        <v>0.13839285714285715</v>
      </c>
      <c r="CD196">
        <v>26</v>
      </c>
      <c r="CE196" s="6">
        <f>CD196/CD238</f>
        <v>0.1078838174273859</v>
      </c>
      <c r="CF196" s="6">
        <f>26/$CF$3</f>
        <v>0.1078838174273859</v>
      </c>
      <c r="CH196">
        <v>44</v>
      </c>
      <c r="CI196" s="6">
        <f>CH196/CH238</f>
        <v>0.13333333333333333</v>
      </c>
      <c r="CJ196" s="6">
        <f>44/$CJ$3</f>
        <v>0.13333333333333333</v>
      </c>
    </row>
    <row r="197" spans="1:88" x14ac:dyDescent="0.35">
      <c r="A197" s="1" t="s">
        <v>527</v>
      </c>
      <c r="B197">
        <v>190</v>
      </c>
      <c r="C197" s="6">
        <f>B197/B238</f>
        <v>0.17272727272727273</v>
      </c>
      <c r="D197" s="6">
        <f>190/$D$3</f>
        <v>0.17272727272727273</v>
      </c>
      <c r="F197">
        <v>161</v>
      </c>
      <c r="G197" s="6">
        <f>F197/F238</f>
        <v>0.17672886937431395</v>
      </c>
      <c r="H197" s="6">
        <f>161/$H$3</f>
        <v>0.17672886937431395</v>
      </c>
      <c r="J197">
        <v>87</v>
      </c>
      <c r="K197" s="6">
        <f>J197/J238</f>
        <v>0.20046082949308755</v>
      </c>
      <c r="L197" s="6">
        <f>87/$L$3</f>
        <v>0.20046082949308755</v>
      </c>
      <c r="N197">
        <v>19</v>
      </c>
      <c r="O197" s="6">
        <f>N197/N238</f>
        <v>0.23456790123456789</v>
      </c>
      <c r="P197" s="6">
        <f>19/$P$3</f>
        <v>0.23456790123456789</v>
      </c>
      <c r="R197">
        <v>121</v>
      </c>
      <c r="S197" s="6">
        <f>R197/R238</f>
        <v>0.21607142857142858</v>
      </c>
      <c r="T197" s="6">
        <f>121/$T$3</f>
        <v>0.21607142857142858</v>
      </c>
      <c r="V197">
        <v>69</v>
      </c>
      <c r="W197" s="6">
        <f>V197/V238</f>
        <v>0.12777777777777777</v>
      </c>
      <c r="X197" s="6">
        <f>69/$X$3</f>
        <v>0.12777777777777777</v>
      </c>
      <c r="Z197">
        <v>20</v>
      </c>
      <c r="AA197" s="6">
        <f>Z197/Z238</f>
        <v>0.17699115044247787</v>
      </c>
      <c r="AB197" s="6">
        <f>20/$AB$3</f>
        <v>0.17699115044247787</v>
      </c>
      <c r="AD197">
        <v>27</v>
      </c>
      <c r="AE197" s="6">
        <f>AD197/AD238</f>
        <v>0.13636363636363635</v>
      </c>
      <c r="AF197" s="6">
        <f>27/$AF$3</f>
        <v>0.13636363636363635</v>
      </c>
      <c r="AH197">
        <v>40</v>
      </c>
      <c r="AI197" s="6">
        <f>AH197/AH238</f>
        <v>0.16194331983805668</v>
      </c>
      <c r="AJ197" s="6">
        <f>40/$AJ$3</f>
        <v>0.16194331983805668</v>
      </c>
      <c r="AL197">
        <v>45</v>
      </c>
      <c r="AM197" s="6">
        <f>AL197/AL238</f>
        <v>0.19396551724137931</v>
      </c>
      <c r="AN197" s="6">
        <f>45/$AN$3</f>
        <v>0.19396551724137931</v>
      </c>
      <c r="AP197">
        <v>32</v>
      </c>
      <c r="AQ197" s="6">
        <f>AP197/AP238</f>
        <v>0.17204301075268819</v>
      </c>
      <c r="AR197" s="6">
        <f>32/$AR$3</f>
        <v>0.17204301075268819</v>
      </c>
      <c r="AT197">
        <v>26</v>
      </c>
      <c r="AU197" s="6">
        <f>AT197/AT238</f>
        <v>0.20967741935483872</v>
      </c>
      <c r="AV197" s="6">
        <f>26/$AV$3</f>
        <v>0.20967741935483872</v>
      </c>
      <c r="AX197">
        <v>76</v>
      </c>
      <c r="AY197" s="6">
        <f>AX197/AX238</f>
        <v>0.17674418604651163</v>
      </c>
      <c r="AZ197" s="6">
        <f>76/$AZ$3</f>
        <v>0.17674418604651163</v>
      </c>
      <c r="BB197">
        <v>76</v>
      </c>
      <c r="BC197" s="6">
        <f>BB197/BB238</f>
        <v>0.17757009345794392</v>
      </c>
      <c r="BD197" s="6">
        <f>76/$BD$3</f>
        <v>0.17757009345794392</v>
      </c>
      <c r="BF197">
        <v>38</v>
      </c>
      <c r="BG197" s="6">
        <f>BF197/BF238</f>
        <v>0.15702479338842976</v>
      </c>
      <c r="BH197" s="6">
        <f>38/$BH$3</f>
        <v>0.15702479338842976</v>
      </c>
      <c r="BJ197">
        <v>65</v>
      </c>
      <c r="BK197" s="6">
        <f>BJ197/BJ238</f>
        <v>0.16129032258064516</v>
      </c>
      <c r="BL197" s="6">
        <f>65/$BL$3</f>
        <v>0.16129032258064516</v>
      </c>
      <c r="BN197">
        <v>79</v>
      </c>
      <c r="BO197" s="6">
        <f>BN197/BN238</f>
        <v>0.1867612293144208</v>
      </c>
      <c r="BP197" s="6">
        <f>79/$BP$3</f>
        <v>0.1867612293144208</v>
      </c>
      <c r="BR197">
        <v>46</v>
      </c>
      <c r="BS197" s="6">
        <f>BR197/BR238</f>
        <v>0.16788321167883211</v>
      </c>
      <c r="BT197" s="6">
        <f>46/$BT$3</f>
        <v>0.16788321167883211</v>
      </c>
      <c r="BV197">
        <v>48</v>
      </c>
      <c r="BW197" s="6">
        <f>BV197/BV238</f>
        <v>0.15737704918032788</v>
      </c>
      <c r="BX197" s="6">
        <f>48/$BX$3</f>
        <v>0.15737704918032788</v>
      </c>
      <c r="BZ197">
        <v>45</v>
      </c>
      <c r="CA197" s="6">
        <f>BZ197/BZ238</f>
        <v>0.20089285714285715</v>
      </c>
      <c r="CB197" s="6">
        <f>45/$CB$3</f>
        <v>0.20089285714285715</v>
      </c>
      <c r="CD197">
        <v>40</v>
      </c>
      <c r="CE197" s="6">
        <f>CD197/CD238</f>
        <v>0.16597510373443983</v>
      </c>
      <c r="CF197" s="6">
        <f>40/$CF$3</f>
        <v>0.16597510373443983</v>
      </c>
      <c r="CH197">
        <v>57</v>
      </c>
      <c r="CI197" s="6">
        <f>CH197/CH238</f>
        <v>0.17272727272727273</v>
      </c>
      <c r="CJ197" s="6">
        <f>57/$CJ$3</f>
        <v>0.17272727272727273</v>
      </c>
    </row>
    <row r="198" spans="1:88" x14ac:dyDescent="0.35">
      <c r="A198" s="1" t="s">
        <v>528</v>
      </c>
      <c r="B198">
        <v>198</v>
      </c>
      <c r="C198" s="6">
        <f>B198/B238</f>
        <v>0.18</v>
      </c>
      <c r="D198" s="6">
        <f>198/$D$3</f>
        <v>0.18</v>
      </c>
      <c r="F198">
        <v>170</v>
      </c>
      <c r="G198" s="6">
        <f>F198/F238</f>
        <v>0.18660812294182216</v>
      </c>
      <c r="H198" s="6">
        <f>170/$H$3</f>
        <v>0.18660812294182216</v>
      </c>
      <c r="J198">
        <v>84</v>
      </c>
      <c r="K198" s="6">
        <f>J198/J238</f>
        <v>0.19354838709677419</v>
      </c>
      <c r="L198" s="6">
        <f>84/$L$3</f>
        <v>0.19354838709677419</v>
      </c>
      <c r="N198">
        <v>12</v>
      </c>
      <c r="O198" s="6">
        <f>N198/N238</f>
        <v>0.14814814814814814</v>
      </c>
      <c r="P198" s="6">
        <f>12/$P$3</f>
        <v>0.14814814814814814</v>
      </c>
      <c r="R198">
        <v>112</v>
      </c>
      <c r="S198" s="6">
        <f>R198/R238</f>
        <v>0.2</v>
      </c>
      <c r="T198" s="6">
        <f>112/$T$3</f>
        <v>0.2</v>
      </c>
      <c r="V198">
        <v>86</v>
      </c>
      <c r="W198" s="6">
        <f>V198/V238</f>
        <v>0.15925925925925927</v>
      </c>
      <c r="X198" s="6">
        <f>86/$X$3</f>
        <v>0.15925925925925927</v>
      </c>
      <c r="Z198">
        <v>19</v>
      </c>
      <c r="AA198" s="6">
        <f>Z198/Z238</f>
        <v>0.16814159292035399</v>
      </c>
      <c r="AB198" s="6">
        <f>19/$AB$3</f>
        <v>0.16814159292035399</v>
      </c>
      <c r="AD198">
        <v>26</v>
      </c>
      <c r="AE198" s="6">
        <f>AD198/AD238</f>
        <v>0.13131313131313133</v>
      </c>
      <c r="AF198" s="6">
        <f>26/$AF$3</f>
        <v>0.13131313131313133</v>
      </c>
      <c r="AH198">
        <v>51</v>
      </c>
      <c r="AI198" s="6">
        <f>AH198/AH238</f>
        <v>0.20647773279352227</v>
      </c>
      <c r="AJ198" s="6">
        <f>51/$AJ$3</f>
        <v>0.20647773279352227</v>
      </c>
      <c r="AL198">
        <v>43</v>
      </c>
      <c r="AM198" s="6">
        <f>AL198/AL238</f>
        <v>0.18534482758620691</v>
      </c>
      <c r="AN198" s="6">
        <f>43/$AN$3</f>
        <v>0.18534482758620691</v>
      </c>
      <c r="AP198">
        <v>35</v>
      </c>
      <c r="AQ198" s="6">
        <f>AP198/AP238</f>
        <v>0.18817204301075269</v>
      </c>
      <c r="AR198" s="6">
        <f>35/$AR$3</f>
        <v>0.18817204301075269</v>
      </c>
      <c r="AT198">
        <v>24</v>
      </c>
      <c r="AU198" s="6">
        <f>AT198/AT238</f>
        <v>0.19354838709677419</v>
      </c>
      <c r="AV198" s="6">
        <f>24/$AV$3</f>
        <v>0.19354838709677419</v>
      </c>
      <c r="AX198">
        <v>76</v>
      </c>
      <c r="AY198" s="6">
        <f>AX198/AX238</f>
        <v>0.17674418604651163</v>
      </c>
      <c r="AZ198" s="6">
        <f>76/$AZ$3</f>
        <v>0.17674418604651163</v>
      </c>
      <c r="BB198">
        <v>78</v>
      </c>
      <c r="BC198" s="6">
        <f>BB198/BB238</f>
        <v>0.1822429906542056</v>
      </c>
      <c r="BD198" s="6">
        <f>78/$BD$3</f>
        <v>0.1822429906542056</v>
      </c>
      <c r="BF198">
        <v>44</v>
      </c>
      <c r="BG198" s="6">
        <f>BF198/BF238</f>
        <v>0.18181818181818182</v>
      </c>
      <c r="BH198" s="6">
        <f>44/$BH$3</f>
        <v>0.18181818181818182</v>
      </c>
      <c r="BJ198">
        <v>75</v>
      </c>
      <c r="BK198" s="6">
        <f>BJ198/BJ238</f>
        <v>0.18610421836228289</v>
      </c>
      <c r="BL198" s="6">
        <f>75/$BL$3</f>
        <v>0.18610421836228289</v>
      </c>
      <c r="BN198">
        <v>72</v>
      </c>
      <c r="BO198" s="6">
        <f>BN198/BN238</f>
        <v>0.1702127659574468</v>
      </c>
      <c r="BP198" s="6">
        <f>72/$BP$3</f>
        <v>0.1702127659574468</v>
      </c>
      <c r="BR198">
        <v>51</v>
      </c>
      <c r="BS198" s="6">
        <f>BR198/BR238</f>
        <v>0.18613138686131386</v>
      </c>
      <c r="BT198" s="6">
        <f>51/$BT$3</f>
        <v>0.18613138686131386</v>
      </c>
      <c r="BV198">
        <v>53</v>
      </c>
      <c r="BW198" s="6">
        <f>BV198/BV238</f>
        <v>0.17377049180327869</v>
      </c>
      <c r="BX198" s="6">
        <f>53/$BX$3</f>
        <v>0.17377049180327869</v>
      </c>
      <c r="BZ198">
        <v>35</v>
      </c>
      <c r="CA198" s="6">
        <f>BZ198/BZ238</f>
        <v>0.15625</v>
      </c>
      <c r="CB198" s="6">
        <f>35/$CB$3</f>
        <v>0.15625</v>
      </c>
      <c r="CD198">
        <v>49</v>
      </c>
      <c r="CE198" s="6">
        <f>CD198/CD238</f>
        <v>0.2033195020746888</v>
      </c>
      <c r="CF198" s="6">
        <f>49/$CF$3</f>
        <v>0.2033195020746888</v>
      </c>
      <c r="CH198">
        <v>61</v>
      </c>
      <c r="CI198" s="6">
        <f>CH198/CH238</f>
        <v>0.18484848484848485</v>
      </c>
      <c r="CJ198" s="6">
        <f>61/$CJ$3</f>
        <v>0.18484848484848485</v>
      </c>
    </row>
    <row r="199" spans="1:88" x14ac:dyDescent="0.35">
      <c r="A199" s="1" t="s">
        <v>529</v>
      </c>
      <c r="B199">
        <v>569</v>
      </c>
      <c r="C199" s="6">
        <f>B199/B238</f>
        <v>0.51727272727272722</v>
      </c>
      <c r="D199" s="6">
        <f>569/$D$3</f>
        <v>0.51727272727272722</v>
      </c>
      <c r="F199">
        <v>450</v>
      </c>
      <c r="G199" s="6">
        <f>F199/F238</f>
        <v>0.49396267837541163</v>
      </c>
      <c r="H199" s="6">
        <f>450/$H$3</f>
        <v>0.49396267837541163</v>
      </c>
      <c r="J199">
        <v>187</v>
      </c>
      <c r="K199" s="6">
        <f>J199/J238</f>
        <v>0.43087557603686638</v>
      </c>
      <c r="L199" s="8">
        <f>187/$L$3</f>
        <v>0.43087557603686638</v>
      </c>
      <c r="N199">
        <v>36</v>
      </c>
      <c r="O199" s="6">
        <f>N199/N238</f>
        <v>0.44444444444444442</v>
      </c>
      <c r="P199" s="6">
        <f>36/$P$3</f>
        <v>0.44444444444444442</v>
      </c>
      <c r="R199">
        <v>220</v>
      </c>
      <c r="S199" s="6">
        <f>R199/R238</f>
        <v>0.39285714285714285</v>
      </c>
      <c r="T199" s="8">
        <f>220/$T$3</f>
        <v>0.39285714285714285</v>
      </c>
      <c r="V199">
        <v>349</v>
      </c>
      <c r="W199" s="6">
        <f>V199/V238</f>
        <v>0.64629629629629626</v>
      </c>
      <c r="X199" s="9">
        <f>349/$X$3</f>
        <v>0.64629629629629626</v>
      </c>
      <c r="Z199">
        <v>53</v>
      </c>
      <c r="AA199" s="6">
        <f>Z199/Z238</f>
        <v>0.46902654867256638</v>
      </c>
      <c r="AB199" s="6">
        <f>53/$AB$3</f>
        <v>0.46902654867256638</v>
      </c>
      <c r="AD199">
        <v>116</v>
      </c>
      <c r="AE199" s="6">
        <f>AD199/AD238</f>
        <v>0.58585858585858586</v>
      </c>
      <c r="AF199" s="9">
        <f>116/$AF$3</f>
        <v>0.58585858585858586</v>
      </c>
      <c r="AH199">
        <v>132</v>
      </c>
      <c r="AI199" s="6">
        <f>AH199/AH238</f>
        <v>0.53441295546558709</v>
      </c>
      <c r="AJ199" s="6">
        <f>132/$AJ$3</f>
        <v>0.53441295546558709</v>
      </c>
      <c r="AL199">
        <v>113</v>
      </c>
      <c r="AM199" s="6">
        <f>AL199/AL238</f>
        <v>0.48706896551724138</v>
      </c>
      <c r="AN199" s="6">
        <f>113/$AN$3</f>
        <v>0.48706896551724138</v>
      </c>
      <c r="AP199">
        <v>97</v>
      </c>
      <c r="AQ199" s="6">
        <f>AP199/AP238</f>
        <v>0.521505376344086</v>
      </c>
      <c r="AR199" s="6">
        <f>97/$AR$3</f>
        <v>0.521505376344086</v>
      </c>
      <c r="AT199">
        <v>58</v>
      </c>
      <c r="AU199" s="6">
        <f>AT199/AT238</f>
        <v>0.46774193548387094</v>
      </c>
      <c r="AV199" s="6">
        <f>58/$AV$3</f>
        <v>0.46774193548387094</v>
      </c>
      <c r="AX199">
        <v>221</v>
      </c>
      <c r="AY199" s="6">
        <f>AX199/AX238</f>
        <v>0.51395348837209298</v>
      </c>
      <c r="AZ199" s="6">
        <f>221/$AZ$3</f>
        <v>0.51395348837209298</v>
      </c>
      <c r="BB199">
        <v>221</v>
      </c>
      <c r="BC199" s="6">
        <f>BB199/BB238</f>
        <v>0.51635514018691586</v>
      </c>
      <c r="BD199" s="6">
        <f>221/$BD$3</f>
        <v>0.51635514018691586</v>
      </c>
      <c r="BF199">
        <v>127</v>
      </c>
      <c r="BG199" s="6">
        <f>BF199/BF238</f>
        <v>0.52479338842975209</v>
      </c>
      <c r="BH199" s="6">
        <f>127/$BH$3</f>
        <v>0.52479338842975209</v>
      </c>
      <c r="BJ199">
        <v>225</v>
      </c>
      <c r="BK199" s="6">
        <f>BJ199/BJ238</f>
        <v>0.55831265508684869</v>
      </c>
      <c r="BL199" s="6">
        <f>225/$BL$3</f>
        <v>0.55831265508684869</v>
      </c>
      <c r="BN199">
        <v>217</v>
      </c>
      <c r="BO199" s="6">
        <f>BN199/BN238</f>
        <v>0.51300236406619382</v>
      </c>
      <c r="BP199" s="6">
        <f>217/$BP$3</f>
        <v>0.51300236406619382</v>
      </c>
      <c r="BR199">
        <v>127</v>
      </c>
      <c r="BS199" s="6">
        <f>BR199/BR238</f>
        <v>0.46350364963503649</v>
      </c>
      <c r="BT199" s="8">
        <f>127/$BT$3</f>
        <v>0.46350364963503649</v>
      </c>
      <c r="BV199">
        <v>162</v>
      </c>
      <c r="BW199" s="6">
        <f>BV199/BV238</f>
        <v>0.5311475409836065</v>
      </c>
      <c r="BX199" s="6">
        <f>162/$BX$3</f>
        <v>0.5311475409836065</v>
      </c>
      <c r="BZ199">
        <v>113</v>
      </c>
      <c r="CA199" s="6">
        <f>BZ199/BZ238</f>
        <v>0.5044642857142857</v>
      </c>
      <c r="CB199" s="6">
        <f>113/$CB$3</f>
        <v>0.5044642857142857</v>
      </c>
      <c r="CD199">
        <v>126</v>
      </c>
      <c r="CE199" s="6">
        <f>CD199/CD238</f>
        <v>0.52282157676348551</v>
      </c>
      <c r="CF199" s="6">
        <f>126/$CF$3</f>
        <v>0.52282157676348551</v>
      </c>
      <c r="CH199">
        <v>168</v>
      </c>
      <c r="CI199" s="6">
        <f>CH199/CH238</f>
        <v>0.50909090909090904</v>
      </c>
      <c r="CJ199" s="6">
        <f>168/$CJ$3</f>
        <v>0.50909090909090904</v>
      </c>
    </row>
    <row r="201" spans="1:88" x14ac:dyDescent="0.35">
      <c r="A201" s="1" t="s">
        <v>530</v>
      </c>
      <c r="B201">
        <v>611</v>
      </c>
      <c r="C201" s="6">
        <f>B201/B238</f>
        <v>0.55545454545454542</v>
      </c>
      <c r="D201" s="6">
        <f>611/$D$3</f>
        <v>0.55545454545454542</v>
      </c>
      <c r="F201">
        <v>521</v>
      </c>
      <c r="G201" s="6">
        <f>F201/F238</f>
        <v>0.57189901207464322</v>
      </c>
      <c r="H201" s="6">
        <f>521/$H$3</f>
        <v>0.57189901207464322</v>
      </c>
      <c r="J201">
        <v>235</v>
      </c>
      <c r="K201" s="6">
        <f>J201/J238</f>
        <v>0.54147465437788023</v>
      </c>
      <c r="L201" s="6">
        <f>235/$L$3</f>
        <v>0.54147465437788023</v>
      </c>
      <c r="N201">
        <v>48</v>
      </c>
      <c r="O201" s="6">
        <f>N201/N238</f>
        <v>0.59259259259259256</v>
      </c>
      <c r="P201" s="6">
        <f>48/$P$3</f>
        <v>0.59259259259259256</v>
      </c>
      <c r="R201">
        <v>319</v>
      </c>
      <c r="S201" s="6">
        <f>R201/R238</f>
        <v>0.56964285714285712</v>
      </c>
      <c r="T201" s="6">
        <f>319/$T$3</f>
        <v>0.56964285714285712</v>
      </c>
      <c r="V201">
        <v>292</v>
      </c>
      <c r="W201" s="6">
        <f>V201/V238</f>
        <v>0.54074074074074074</v>
      </c>
      <c r="X201" s="6">
        <f>292/$X$3</f>
        <v>0.54074074074074074</v>
      </c>
      <c r="Z201">
        <v>57</v>
      </c>
      <c r="AA201" s="6">
        <f>Z201/Z238</f>
        <v>0.50442477876106195</v>
      </c>
      <c r="AB201" s="6">
        <f>57/$AB$3</f>
        <v>0.50442477876106195</v>
      </c>
      <c r="AD201">
        <v>114</v>
      </c>
      <c r="AE201" s="6">
        <f>AD201/AD238</f>
        <v>0.5757575757575758</v>
      </c>
      <c r="AF201" s="6">
        <f>114/$AF$3</f>
        <v>0.5757575757575758</v>
      </c>
      <c r="AH201">
        <v>123</v>
      </c>
      <c r="AI201" s="6">
        <f>AH201/AH238</f>
        <v>0.49797570850202427</v>
      </c>
      <c r="AJ201" s="8">
        <f>123/$AJ$3</f>
        <v>0.49797570850202427</v>
      </c>
      <c r="AL201">
        <v>138</v>
      </c>
      <c r="AM201" s="6">
        <f>AL201/AL238</f>
        <v>0.59482758620689657</v>
      </c>
      <c r="AN201" s="6">
        <f>138/$AN$3</f>
        <v>0.59482758620689657</v>
      </c>
      <c r="AP201">
        <v>105</v>
      </c>
      <c r="AQ201" s="6">
        <f>AP201/AP238</f>
        <v>0.56451612903225812</v>
      </c>
      <c r="AR201" s="6">
        <f>105/$AR$3</f>
        <v>0.56451612903225812</v>
      </c>
      <c r="AT201">
        <v>74</v>
      </c>
      <c r="AU201" s="6">
        <f>AT201/AT238</f>
        <v>0.59677419354838712</v>
      </c>
      <c r="AV201" s="6">
        <f>74/$AV$3</f>
        <v>0.59677419354838712</v>
      </c>
      <c r="AX201">
        <v>254</v>
      </c>
      <c r="AY201" s="6">
        <f>AX201/AX238</f>
        <v>0.59069767441860466</v>
      </c>
      <c r="AZ201" s="6">
        <f>254/$AZ$3</f>
        <v>0.59069767441860466</v>
      </c>
      <c r="BA201" s="7" t="s">
        <v>5</v>
      </c>
      <c r="BB201">
        <v>242</v>
      </c>
      <c r="BC201" s="6">
        <f>BB201/BB238</f>
        <v>0.56542056074766356</v>
      </c>
      <c r="BD201" s="6">
        <f>242/$BD$3</f>
        <v>0.56542056074766356</v>
      </c>
      <c r="BF201">
        <v>115</v>
      </c>
      <c r="BG201" s="6">
        <f>BF201/BF238</f>
        <v>0.47520661157024796</v>
      </c>
      <c r="BH201" s="8">
        <f>115/$BH$3</f>
        <v>0.47520661157024796</v>
      </c>
      <c r="BJ201">
        <v>224</v>
      </c>
      <c r="BK201" s="6">
        <f>BJ201/BJ238</f>
        <v>0.55583126550868489</v>
      </c>
      <c r="BL201" s="6">
        <f>224/$BL$3</f>
        <v>0.55583126550868489</v>
      </c>
      <c r="BN201">
        <v>253</v>
      </c>
      <c r="BO201" s="6">
        <f>BN201/BN238</f>
        <v>0.59810874704491723</v>
      </c>
      <c r="BP201" s="6">
        <f>253/$BP$3</f>
        <v>0.59810874704491723</v>
      </c>
      <c r="BQ201" s="7"/>
      <c r="BR201">
        <v>134</v>
      </c>
      <c r="BS201" s="6">
        <f>BR201/BR238</f>
        <v>0.48905109489051096</v>
      </c>
      <c r="BT201" s="8">
        <f>134/$BT$3</f>
        <v>0.48905109489051096</v>
      </c>
      <c r="BV201">
        <v>178</v>
      </c>
      <c r="BW201" s="6">
        <f>BV201/BV238</f>
        <v>0.58360655737704914</v>
      </c>
      <c r="BX201" s="6">
        <f>178/$BX$3</f>
        <v>0.58360655737704914</v>
      </c>
      <c r="BZ201">
        <v>120</v>
      </c>
      <c r="CA201" s="6">
        <f>BZ201/BZ238</f>
        <v>0.5357142857142857</v>
      </c>
      <c r="CB201" s="6">
        <f>120/$CB$3</f>
        <v>0.5357142857142857</v>
      </c>
      <c r="CD201">
        <v>148</v>
      </c>
      <c r="CE201" s="6">
        <f>CD201/CD238</f>
        <v>0.61410788381742742</v>
      </c>
      <c r="CF201" s="9">
        <f>148/$CF$3</f>
        <v>0.61410788381742742</v>
      </c>
      <c r="CH201">
        <v>165</v>
      </c>
      <c r="CI201" s="6">
        <f>CH201/CH238</f>
        <v>0.5</v>
      </c>
      <c r="CJ201" s="8">
        <f>165/$CJ$3</f>
        <v>0.5</v>
      </c>
    </row>
    <row r="202" spans="1:88" x14ac:dyDescent="0.35">
      <c r="A202" s="1" t="s">
        <v>531</v>
      </c>
      <c r="B202">
        <v>343</v>
      </c>
      <c r="C202" s="6">
        <f>B202/B238</f>
        <v>0.31181818181818183</v>
      </c>
      <c r="D202" s="6">
        <f>343/$D$3</f>
        <v>0.31181818181818183</v>
      </c>
      <c r="F202">
        <v>308</v>
      </c>
      <c r="G202" s="6">
        <f>F202/F238</f>
        <v>0.33809001097694841</v>
      </c>
      <c r="H202" s="6">
        <f>308/$H$3</f>
        <v>0.33809001097694841</v>
      </c>
      <c r="J202">
        <v>169</v>
      </c>
      <c r="K202" s="6">
        <f>J202/J238</f>
        <v>0.38940092165898615</v>
      </c>
      <c r="L202" s="9">
        <f>169/$L$3</f>
        <v>0.38940092165898615</v>
      </c>
      <c r="N202">
        <v>23</v>
      </c>
      <c r="O202" s="6">
        <f>N202/N238</f>
        <v>0.2839506172839506</v>
      </c>
      <c r="P202" s="6">
        <f>23/$P$3</f>
        <v>0.2839506172839506</v>
      </c>
      <c r="R202">
        <v>185</v>
      </c>
      <c r="S202" s="6">
        <f>R202/R238</f>
        <v>0.33035714285714285</v>
      </c>
      <c r="T202" s="6">
        <f>185/$T$3</f>
        <v>0.33035714285714285</v>
      </c>
      <c r="V202">
        <v>158</v>
      </c>
      <c r="W202" s="6">
        <f>V202/V238</f>
        <v>0.29259259259259257</v>
      </c>
      <c r="X202" s="6">
        <f>158/$X$3</f>
        <v>0.29259259259259257</v>
      </c>
      <c r="Z202">
        <v>47</v>
      </c>
      <c r="AA202" s="6">
        <f>Z202/Z238</f>
        <v>0.41592920353982299</v>
      </c>
      <c r="AB202" s="9">
        <f>47/$AB$3</f>
        <v>0.41592920353982299</v>
      </c>
      <c r="AC202" s="7"/>
      <c r="AD202">
        <v>65</v>
      </c>
      <c r="AE202" s="6">
        <f>AD202/AD238</f>
        <v>0.32828282828282829</v>
      </c>
      <c r="AF202" s="6">
        <f>65/$AF$3</f>
        <v>0.32828282828282829</v>
      </c>
      <c r="AG202" s="7"/>
      <c r="AH202">
        <v>87</v>
      </c>
      <c r="AI202" s="6">
        <f>AH202/AH238</f>
        <v>0.35222672064777327</v>
      </c>
      <c r="AJ202" s="6">
        <f>87/$AJ$3</f>
        <v>0.35222672064777327</v>
      </c>
      <c r="AK202" s="7"/>
      <c r="AL202">
        <v>79</v>
      </c>
      <c r="AM202" s="6">
        <f>AL202/AL238</f>
        <v>0.34051724137931033</v>
      </c>
      <c r="AN202" s="6">
        <f>79/$AN$3</f>
        <v>0.34051724137931033</v>
      </c>
      <c r="AO202" s="7"/>
      <c r="AP202">
        <v>51</v>
      </c>
      <c r="AQ202" s="6">
        <f>AP202/AP238</f>
        <v>0.27419354838709675</v>
      </c>
      <c r="AR202" s="6">
        <f>51/$AR$3</f>
        <v>0.27419354838709675</v>
      </c>
      <c r="AS202" s="7"/>
      <c r="AT202">
        <v>14</v>
      </c>
      <c r="AU202" s="6">
        <f>AT202/AT238</f>
        <v>0.11290322580645161</v>
      </c>
      <c r="AV202" s="8">
        <f>14/$AV$3</f>
        <v>0.11290322580645161</v>
      </c>
      <c r="AX202">
        <v>140</v>
      </c>
      <c r="AY202" s="6">
        <f>AX202/AX238</f>
        <v>0.32558139534883723</v>
      </c>
      <c r="AZ202" s="6">
        <f>140/$AZ$3</f>
        <v>0.32558139534883723</v>
      </c>
      <c r="BB202">
        <v>133</v>
      </c>
      <c r="BC202" s="6">
        <f>BB202/BB238</f>
        <v>0.31074766355140188</v>
      </c>
      <c r="BD202" s="6">
        <f>133/$BD$3</f>
        <v>0.31074766355140188</v>
      </c>
      <c r="BF202">
        <v>70</v>
      </c>
      <c r="BG202" s="6">
        <f>BF202/BF238</f>
        <v>0.28925619834710742</v>
      </c>
      <c r="BH202" s="6">
        <f>70/$BH$3</f>
        <v>0.28925619834710742</v>
      </c>
      <c r="BJ202">
        <v>115</v>
      </c>
      <c r="BK202" s="6">
        <f>BJ202/BJ238</f>
        <v>0.28535980148883372</v>
      </c>
      <c r="BL202" s="6">
        <f>115/$BL$3</f>
        <v>0.28535980148883372</v>
      </c>
      <c r="BN202">
        <v>129</v>
      </c>
      <c r="BO202" s="6">
        <f>BN202/BN238</f>
        <v>0.30496453900709219</v>
      </c>
      <c r="BP202" s="6">
        <f>129/$BP$3</f>
        <v>0.30496453900709219</v>
      </c>
      <c r="BR202">
        <v>99</v>
      </c>
      <c r="BS202" s="6">
        <f>BR202/BR238</f>
        <v>0.36131386861313869</v>
      </c>
      <c r="BT202" s="6">
        <f>99/$BT$3</f>
        <v>0.36131386861313869</v>
      </c>
      <c r="BV202">
        <v>105</v>
      </c>
      <c r="BW202" s="6">
        <f>BV202/BV238</f>
        <v>0.34426229508196721</v>
      </c>
      <c r="BX202" s="6">
        <f>105/$BX$3</f>
        <v>0.34426229508196721</v>
      </c>
      <c r="BZ202">
        <v>64</v>
      </c>
      <c r="CA202" s="6">
        <f>BZ202/BZ238</f>
        <v>0.2857142857142857</v>
      </c>
      <c r="CB202" s="6">
        <f>64/$CB$3</f>
        <v>0.2857142857142857</v>
      </c>
      <c r="CD202">
        <v>79</v>
      </c>
      <c r="CE202" s="6">
        <f>CD202/CD238</f>
        <v>0.32780082987551867</v>
      </c>
      <c r="CF202" s="6">
        <f>79/$CF$3</f>
        <v>0.32780082987551867</v>
      </c>
      <c r="CH202">
        <v>95</v>
      </c>
      <c r="CI202" s="6">
        <f>CH202/CH238</f>
        <v>0.2878787878787879</v>
      </c>
      <c r="CJ202" s="6">
        <f>95/$CJ$3</f>
        <v>0.2878787878787879</v>
      </c>
    </row>
    <row r="203" spans="1:88" x14ac:dyDescent="0.35">
      <c r="A203" s="1" t="s">
        <v>532</v>
      </c>
      <c r="B203">
        <v>325</v>
      </c>
      <c r="C203" s="6">
        <f>B203/B238</f>
        <v>0.29545454545454547</v>
      </c>
      <c r="D203" s="6">
        <f>325/$D$3</f>
        <v>0.29545454545454547</v>
      </c>
      <c r="F203">
        <v>289</v>
      </c>
      <c r="G203" s="6">
        <f>F203/F238</f>
        <v>0.31723380900109771</v>
      </c>
      <c r="H203" s="6">
        <f>289/$H$3</f>
        <v>0.31723380900109771</v>
      </c>
      <c r="J203">
        <v>148</v>
      </c>
      <c r="K203" s="6">
        <f>J203/J238</f>
        <v>0.34101382488479265</v>
      </c>
      <c r="L203" s="6">
        <f>148/$L$3</f>
        <v>0.34101382488479265</v>
      </c>
      <c r="N203">
        <v>24</v>
      </c>
      <c r="O203" s="6">
        <f>N203/N238</f>
        <v>0.29629629629629628</v>
      </c>
      <c r="P203" s="6">
        <f>24/$P$3</f>
        <v>0.29629629629629628</v>
      </c>
      <c r="R203">
        <v>174</v>
      </c>
      <c r="S203" s="6">
        <f>R203/R238</f>
        <v>0.31071428571428572</v>
      </c>
      <c r="T203" s="6">
        <f>174/$T$3</f>
        <v>0.31071428571428572</v>
      </c>
      <c r="V203">
        <v>151</v>
      </c>
      <c r="W203" s="6">
        <f>V203/V238</f>
        <v>0.27962962962962962</v>
      </c>
      <c r="X203" s="6">
        <f>151/$X$3</f>
        <v>0.27962962962962962</v>
      </c>
      <c r="Z203">
        <v>40</v>
      </c>
      <c r="AA203" s="6">
        <f>Z203/Z238</f>
        <v>0.35398230088495575</v>
      </c>
      <c r="AB203" s="6">
        <f>40/$AB$3</f>
        <v>0.35398230088495575</v>
      </c>
      <c r="AD203">
        <v>62</v>
      </c>
      <c r="AE203" s="6">
        <f>AD203/AD238</f>
        <v>0.31313131313131315</v>
      </c>
      <c r="AF203" s="6">
        <f>62/$AF$3</f>
        <v>0.31313131313131315</v>
      </c>
      <c r="AH203">
        <v>76</v>
      </c>
      <c r="AI203" s="6">
        <f>AH203/AH238</f>
        <v>0.30769230769230771</v>
      </c>
      <c r="AJ203" s="6">
        <f>76/$AJ$3</f>
        <v>0.30769230769230771</v>
      </c>
      <c r="AL203">
        <v>75</v>
      </c>
      <c r="AM203" s="6">
        <f>AL203/AL238</f>
        <v>0.32327586206896552</v>
      </c>
      <c r="AN203" s="6">
        <f>75/$AN$3</f>
        <v>0.32327586206896552</v>
      </c>
      <c r="AP203">
        <v>47</v>
      </c>
      <c r="AQ203" s="6">
        <f>AP203/AP238</f>
        <v>0.25268817204301075</v>
      </c>
      <c r="AR203" s="6">
        <f>47/$AR$3</f>
        <v>0.25268817204301075</v>
      </c>
      <c r="AT203">
        <v>25</v>
      </c>
      <c r="AU203" s="6">
        <f>AT203/AT238</f>
        <v>0.20161290322580644</v>
      </c>
      <c r="AV203" s="8">
        <f>25/$AV$3</f>
        <v>0.20161290322580644</v>
      </c>
      <c r="AX203">
        <v>140</v>
      </c>
      <c r="AY203" s="6">
        <f>AX203/AX238</f>
        <v>0.32558139534883723</v>
      </c>
      <c r="AZ203" s="6">
        <f>140/$AZ$3</f>
        <v>0.32558139534883723</v>
      </c>
      <c r="BB203">
        <v>129</v>
      </c>
      <c r="BC203" s="6">
        <f>BB203/BB238</f>
        <v>0.30140186915887851</v>
      </c>
      <c r="BD203" s="6">
        <f>129/$BD$3</f>
        <v>0.30140186915887851</v>
      </c>
      <c r="BF203">
        <v>56</v>
      </c>
      <c r="BG203" s="6">
        <f>BF203/BF238</f>
        <v>0.23140495867768596</v>
      </c>
      <c r="BH203" s="8">
        <f>56/$BH$3</f>
        <v>0.23140495867768596</v>
      </c>
      <c r="BJ203">
        <v>113</v>
      </c>
      <c r="BK203" s="6">
        <f>BJ203/BJ238</f>
        <v>0.28039702233250619</v>
      </c>
      <c r="BL203" s="6">
        <f>113/$BL$3</f>
        <v>0.28039702233250619</v>
      </c>
      <c r="BN203">
        <v>127</v>
      </c>
      <c r="BO203" s="6">
        <f>BN203/BN238</f>
        <v>0.30023640661938533</v>
      </c>
      <c r="BP203" s="6">
        <f>127/$BP$3</f>
        <v>0.30023640661938533</v>
      </c>
      <c r="BR203">
        <v>85</v>
      </c>
      <c r="BS203" s="6">
        <f>BR203/BR238</f>
        <v>0.31021897810218979</v>
      </c>
      <c r="BT203" s="6">
        <f>85/$BT$3</f>
        <v>0.31021897810218979</v>
      </c>
      <c r="BV203">
        <v>91</v>
      </c>
      <c r="BW203" s="6">
        <f>BV203/BV238</f>
        <v>0.29836065573770493</v>
      </c>
      <c r="BX203" s="6">
        <f>91/$BX$3</f>
        <v>0.29836065573770493</v>
      </c>
      <c r="BZ203">
        <v>68</v>
      </c>
      <c r="CA203" s="6">
        <f>BZ203/BZ238</f>
        <v>0.30357142857142855</v>
      </c>
      <c r="CB203" s="6">
        <f>68/$CB$3</f>
        <v>0.30357142857142855</v>
      </c>
      <c r="CD203">
        <v>74</v>
      </c>
      <c r="CE203" s="6">
        <f>CD203/CD238</f>
        <v>0.30705394190871371</v>
      </c>
      <c r="CF203" s="6">
        <f>74/$CF$3</f>
        <v>0.30705394190871371</v>
      </c>
      <c r="CH203">
        <v>92</v>
      </c>
      <c r="CI203" s="6">
        <f>CH203/CH238</f>
        <v>0.27878787878787881</v>
      </c>
      <c r="CJ203" s="6">
        <f>92/$CJ$3</f>
        <v>0.27878787878787881</v>
      </c>
    </row>
    <row r="204" spans="1:88" x14ac:dyDescent="0.35">
      <c r="A204" s="1" t="s">
        <v>533</v>
      </c>
      <c r="B204">
        <v>562</v>
      </c>
      <c r="C204" s="6">
        <f>B204/B238</f>
        <v>0.51090909090909087</v>
      </c>
      <c r="D204" s="6">
        <f>562/$D$3</f>
        <v>0.51090909090909087</v>
      </c>
      <c r="F204">
        <v>491</v>
      </c>
      <c r="G204" s="6">
        <f>F204/F238</f>
        <v>0.53896816684961579</v>
      </c>
      <c r="H204" s="6">
        <f>491/$H$3</f>
        <v>0.53896816684961579</v>
      </c>
      <c r="J204">
        <v>254</v>
      </c>
      <c r="K204" s="6">
        <f>J204/J238</f>
        <v>0.58525345622119818</v>
      </c>
      <c r="L204" s="9">
        <f>254/$L$3</f>
        <v>0.58525345622119818</v>
      </c>
      <c r="N204">
        <v>34</v>
      </c>
      <c r="O204" s="6">
        <f>N204/N238</f>
        <v>0.41975308641975306</v>
      </c>
      <c r="P204" s="6">
        <f>34/$P$3</f>
        <v>0.41975308641975306</v>
      </c>
      <c r="R204">
        <v>295</v>
      </c>
      <c r="S204" s="6">
        <f>R204/R238</f>
        <v>0.5267857142857143</v>
      </c>
      <c r="T204" s="6">
        <f>295/$T$3</f>
        <v>0.5267857142857143</v>
      </c>
      <c r="V204">
        <v>267</v>
      </c>
      <c r="W204" s="6">
        <f>V204/V238</f>
        <v>0.49444444444444446</v>
      </c>
      <c r="X204" s="6">
        <f>267/$X$3</f>
        <v>0.49444444444444446</v>
      </c>
      <c r="Z204">
        <v>66</v>
      </c>
      <c r="AA204" s="6">
        <f>Z204/Z238</f>
        <v>0.58407079646017701</v>
      </c>
      <c r="AB204" s="6">
        <f>66/$AB$3</f>
        <v>0.58407079646017701</v>
      </c>
      <c r="AD204">
        <v>106</v>
      </c>
      <c r="AE204" s="6">
        <f>AD204/AD238</f>
        <v>0.53535353535353536</v>
      </c>
      <c r="AF204" s="6">
        <f>106/$AF$3</f>
        <v>0.53535353535353536</v>
      </c>
      <c r="AH204">
        <v>123</v>
      </c>
      <c r="AI204" s="6">
        <f>AH204/AH238</f>
        <v>0.49797570850202427</v>
      </c>
      <c r="AJ204" s="6">
        <f>123/$AJ$3</f>
        <v>0.49797570850202427</v>
      </c>
      <c r="AL204">
        <v>122</v>
      </c>
      <c r="AM204" s="6">
        <f>AL204/AL238</f>
        <v>0.52586206896551724</v>
      </c>
      <c r="AN204" s="6">
        <f>122/$AN$3</f>
        <v>0.52586206896551724</v>
      </c>
      <c r="AP204">
        <v>91</v>
      </c>
      <c r="AQ204" s="6">
        <f>AP204/AP238</f>
        <v>0.489247311827957</v>
      </c>
      <c r="AR204" s="6">
        <f>91/$AR$3</f>
        <v>0.489247311827957</v>
      </c>
      <c r="AT204">
        <v>54</v>
      </c>
      <c r="AU204" s="6">
        <f>AT204/AT238</f>
        <v>0.43548387096774194</v>
      </c>
      <c r="AV204" s="6">
        <f>54/$AV$3</f>
        <v>0.43548387096774194</v>
      </c>
      <c r="AX204">
        <v>231</v>
      </c>
      <c r="AY204" s="6">
        <f>AX204/AX238</f>
        <v>0.53720930232558139</v>
      </c>
      <c r="AZ204" s="6">
        <f>231/$AZ$3</f>
        <v>0.53720930232558139</v>
      </c>
      <c r="BB204">
        <v>224</v>
      </c>
      <c r="BC204" s="6">
        <f>BB204/BB238</f>
        <v>0.52336448598130836</v>
      </c>
      <c r="BD204" s="6">
        <f>224/$BD$3</f>
        <v>0.52336448598130836</v>
      </c>
      <c r="BF204">
        <v>107</v>
      </c>
      <c r="BG204" s="6">
        <f>BF204/BF238</f>
        <v>0.44214876033057854</v>
      </c>
      <c r="BH204" s="8">
        <f>107/$BH$3</f>
        <v>0.44214876033057854</v>
      </c>
      <c r="BJ204">
        <v>191</v>
      </c>
      <c r="BK204" s="6">
        <f>BJ204/BJ238</f>
        <v>0.47394540942928037</v>
      </c>
      <c r="BL204" s="6">
        <f>191/$BL$3</f>
        <v>0.47394540942928037</v>
      </c>
      <c r="BN204">
        <v>234</v>
      </c>
      <c r="BO204" s="6">
        <f>BN204/BN238</f>
        <v>0.55319148936170215</v>
      </c>
      <c r="BP204" s="6">
        <f>234/$BP$3</f>
        <v>0.55319148936170215</v>
      </c>
      <c r="BR204">
        <v>137</v>
      </c>
      <c r="BS204" s="6">
        <f>BR204/BR238</f>
        <v>0.5</v>
      </c>
      <c r="BT204" s="6">
        <f>137/$BT$3</f>
        <v>0.5</v>
      </c>
      <c r="BV204">
        <v>160</v>
      </c>
      <c r="BW204" s="6">
        <f>BV204/BV238</f>
        <v>0.52459016393442626</v>
      </c>
      <c r="BX204" s="6">
        <f>160/$BX$3</f>
        <v>0.52459016393442626</v>
      </c>
      <c r="BZ204">
        <v>121</v>
      </c>
      <c r="CA204" s="6">
        <f>BZ204/BZ238</f>
        <v>0.5401785714285714</v>
      </c>
      <c r="CB204" s="6">
        <f>121/$CB$3</f>
        <v>0.5401785714285714</v>
      </c>
      <c r="CD204">
        <v>124</v>
      </c>
      <c r="CE204" s="6">
        <f>CD204/CD238</f>
        <v>0.51452282157676343</v>
      </c>
      <c r="CF204" s="6">
        <f>124/$CF$3</f>
        <v>0.51452282157676343</v>
      </c>
      <c r="CH204">
        <v>157</v>
      </c>
      <c r="CI204" s="6">
        <f>CH204/CH238</f>
        <v>0.47575757575757577</v>
      </c>
      <c r="CJ204" s="6">
        <f>157/$CJ$3</f>
        <v>0.47575757575757577</v>
      </c>
    </row>
    <row r="205" spans="1:88" x14ac:dyDescent="0.35">
      <c r="A205" s="1" t="s">
        <v>534</v>
      </c>
      <c r="B205">
        <v>365</v>
      </c>
      <c r="C205" s="6">
        <f>B205/B238</f>
        <v>0.33181818181818185</v>
      </c>
      <c r="D205" s="6">
        <f>365/$D$3</f>
        <v>0.33181818181818185</v>
      </c>
      <c r="F205">
        <v>319</v>
      </c>
      <c r="G205" s="6">
        <f>F205/F238</f>
        <v>0.35016465422612514</v>
      </c>
      <c r="H205" s="6">
        <f>319/$H$3</f>
        <v>0.35016465422612514</v>
      </c>
      <c r="J205">
        <v>146</v>
      </c>
      <c r="K205" s="6">
        <f>J205/J238</f>
        <v>0.33640552995391704</v>
      </c>
      <c r="L205" s="6">
        <f>146/$L$3</f>
        <v>0.33640552995391704</v>
      </c>
      <c r="N205">
        <v>31</v>
      </c>
      <c r="O205" s="6">
        <f>N205/N238</f>
        <v>0.38271604938271603</v>
      </c>
      <c r="P205" s="6">
        <f>31/$P$3</f>
        <v>0.38271604938271603</v>
      </c>
      <c r="R205">
        <v>163</v>
      </c>
      <c r="S205" s="6">
        <f>R205/R238</f>
        <v>0.29107142857142859</v>
      </c>
      <c r="T205" s="6">
        <f>163/$T$3</f>
        <v>0.29107142857142859</v>
      </c>
      <c r="V205">
        <v>202</v>
      </c>
      <c r="W205" s="6">
        <f>V205/V238</f>
        <v>0.37407407407407406</v>
      </c>
      <c r="X205" s="6">
        <f>202/$X$3</f>
        <v>0.37407407407407406</v>
      </c>
      <c r="Z205">
        <v>34</v>
      </c>
      <c r="AA205" s="6">
        <f>Z205/Z238</f>
        <v>0.30088495575221241</v>
      </c>
      <c r="AB205" s="6">
        <f>34/$AB$3</f>
        <v>0.30088495575221241</v>
      </c>
      <c r="AD205">
        <v>63</v>
      </c>
      <c r="AE205" s="6">
        <f>AD205/AD238</f>
        <v>0.31818181818181818</v>
      </c>
      <c r="AF205" s="6">
        <f>63/$AF$3</f>
        <v>0.31818181818181818</v>
      </c>
      <c r="AH205">
        <v>82</v>
      </c>
      <c r="AI205" s="6">
        <f>AH205/AH238</f>
        <v>0.33198380566801622</v>
      </c>
      <c r="AJ205" s="6">
        <f>82/$AJ$3</f>
        <v>0.33198380566801622</v>
      </c>
      <c r="AL205">
        <v>71</v>
      </c>
      <c r="AM205" s="6">
        <f>AL205/AL238</f>
        <v>0.30603448275862066</v>
      </c>
      <c r="AN205" s="6">
        <f>71/$AN$3</f>
        <v>0.30603448275862066</v>
      </c>
      <c r="AP205">
        <v>69</v>
      </c>
      <c r="AQ205" s="6">
        <f>AP205/AP238</f>
        <v>0.37096774193548387</v>
      </c>
      <c r="AR205" s="6">
        <f>69/$AR$3</f>
        <v>0.37096774193548387</v>
      </c>
      <c r="AT205">
        <v>46</v>
      </c>
      <c r="AU205" s="6">
        <f>AT205/AT238</f>
        <v>0.37096774193548387</v>
      </c>
      <c r="AV205" s="6">
        <f>46/$AV$3</f>
        <v>0.37096774193548387</v>
      </c>
      <c r="AX205">
        <v>154</v>
      </c>
      <c r="AY205" s="6">
        <f>AX205/AX238</f>
        <v>0.35813953488372091</v>
      </c>
      <c r="AZ205" s="6">
        <f>154/$AZ$3</f>
        <v>0.35813953488372091</v>
      </c>
      <c r="BB205">
        <v>140</v>
      </c>
      <c r="BC205" s="6">
        <f>BB205/BB238</f>
        <v>0.32710280373831774</v>
      </c>
      <c r="BD205" s="6">
        <f>140/$BD$3</f>
        <v>0.32710280373831774</v>
      </c>
      <c r="BF205">
        <v>71</v>
      </c>
      <c r="BG205" s="6">
        <f>BF205/BF238</f>
        <v>0.29338842975206614</v>
      </c>
      <c r="BH205" s="6">
        <f>71/$BH$3</f>
        <v>0.29338842975206614</v>
      </c>
      <c r="BJ205">
        <v>126</v>
      </c>
      <c r="BK205" s="6">
        <f>BJ205/BJ238</f>
        <v>0.31265508684863524</v>
      </c>
      <c r="BL205" s="6">
        <f>126/$BL$3</f>
        <v>0.31265508684863524</v>
      </c>
      <c r="BN205">
        <v>160</v>
      </c>
      <c r="BO205" s="6">
        <f>BN205/BN238</f>
        <v>0.37825059101654845</v>
      </c>
      <c r="BP205" s="6">
        <f>160/$BP$3</f>
        <v>0.37825059101654845</v>
      </c>
      <c r="BR205">
        <v>79</v>
      </c>
      <c r="BS205" s="6">
        <f>BR205/BR238</f>
        <v>0.28832116788321166</v>
      </c>
      <c r="BT205" s="6">
        <f>79/$BT$3</f>
        <v>0.28832116788321166</v>
      </c>
      <c r="BV205">
        <v>117</v>
      </c>
      <c r="BW205" s="6">
        <f>BV205/BV238</f>
        <v>0.38360655737704918</v>
      </c>
      <c r="BX205" s="9">
        <f>117/$BX$3</f>
        <v>0.38360655737704918</v>
      </c>
      <c r="BZ205">
        <v>61</v>
      </c>
      <c r="CA205" s="6">
        <f>BZ205/BZ238</f>
        <v>0.27232142857142855</v>
      </c>
      <c r="CB205" s="8">
        <f>61/$CB$3</f>
        <v>0.27232142857142855</v>
      </c>
      <c r="CD205">
        <v>75</v>
      </c>
      <c r="CE205" s="6">
        <f>CD205/CD238</f>
        <v>0.31120331950207469</v>
      </c>
      <c r="CF205" s="6">
        <f>75/$CF$3</f>
        <v>0.31120331950207469</v>
      </c>
      <c r="CH205">
        <v>112</v>
      </c>
      <c r="CI205" s="6">
        <f>CH205/CH238</f>
        <v>0.33939393939393941</v>
      </c>
      <c r="CJ205" s="6">
        <f>112/$CJ$3</f>
        <v>0.33939393939393941</v>
      </c>
    </row>
    <row r="206" spans="1:88" x14ac:dyDescent="0.35">
      <c r="A206" s="1" t="s">
        <v>535</v>
      </c>
      <c r="B206">
        <v>391</v>
      </c>
      <c r="C206" s="6">
        <f>B206/B238</f>
        <v>0.35545454545454547</v>
      </c>
      <c r="D206" s="6">
        <f>391/$D$3</f>
        <v>0.35545454545454547</v>
      </c>
      <c r="F206">
        <v>334</v>
      </c>
      <c r="G206" s="6">
        <f>F206/F238</f>
        <v>0.36663007683863885</v>
      </c>
      <c r="H206" s="6">
        <f>334/$H$3</f>
        <v>0.36663007683863885</v>
      </c>
      <c r="J206">
        <v>172</v>
      </c>
      <c r="K206" s="6">
        <f>J206/J238</f>
        <v>0.39631336405529954</v>
      </c>
      <c r="L206" s="6">
        <f>172/$L$3</f>
        <v>0.39631336405529954</v>
      </c>
      <c r="N206">
        <v>23</v>
      </c>
      <c r="O206" s="6">
        <f>N206/N238</f>
        <v>0.2839506172839506</v>
      </c>
      <c r="P206" s="6">
        <f>23/$P$3</f>
        <v>0.2839506172839506</v>
      </c>
      <c r="R206">
        <v>211</v>
      </c>
      <c r="S206" s="6">
        <f>R206/R238</f>
        <v>0.37678571428571428</v>
      </c>
      <c r="T206" s="6">
        <f>211/$T$3</f>
        <v>0.37678571428571428</v>
      </c>
      <c r="V206">
        <v>180</v>
      </c>
      <c r="W206" s="6">
        <f>V206/V238</f>
        <v>0.33333333333333331</v>
      </c>
      <c r="X206" s="6">
        <f>180/$X$3</f>
        <v>0.33333333333333331</v>
      </c>
      <c r="Z206">
        <v>48</v>
      </c>
      <c r="AA206" s="6">
        <f>Z206/Z238</f>
        <v>0.4247787610619469</v>
      </c>
      <c r="AB206" s="6">
        <f>48/$AB$3</f>
        <v>0.4247787610619469</v>
      </c>
      <c r="AC206" s="7"/>
      <c r="AD206">
        <v>84</v>
      </c>
      <c r="AE206" s="6">
        <f>AD206/AD238</f>
        <v>0.42424242424242425</v>
      </c>
      <c r="AF206" s="9">
        <f>84/$AF$3</f>
        <v>0.42424242424242425</v>
      </c>
      <c r="AG206" s="7"/>
      <c r="AH206">
        <v>98</v>
      </c>
      <c r="AI206" s="6">
        <f>AH206/AH238</f>
        <v>0.39676113360323889</v>
      </c>
      <c r="AJ206" s="6">
        <f>98/$AJ$3</f>
        <v>0.39676113360323889</v>
      </c>
      <c r="AK206" s="7"/>
      <c r="AL206">
        <v>80</v>
      </c>
      <c r="AM206" s="6">
        <f>AL206/AL238</f>
        <v>0.34482758620689657</v>
      </c>
      <c r="AN206" s="6">
        <f>80/$AN$3</f>
        <v>0.34482758620689657</v>
      </c>
      <c r="AP206">
        <v>48</v>
      </c>
      <c r="AQ206" s="6">
        <f>AP206/AP238</f>
        <v>0.25806451612903225</v>
      </c>
      <c r="AR206" s="8">
        <f>48/$AR$3</f>
        <v>0.25806451612903225</v>
      </c>
      <c r="AT206">
        <v>33</v>
      </c>
      <c r="AU206" s="6">
        <f>AT206/AT238</f>
        <v>0.2661290322580645</v>
      </c>
      <c r="AV206" s="8">
        <f>33/$AV$3</f>
        <v>0.2661290322580645</v>
      </c>
      <c r="AX206">
        <v>149</v>
      </c>
      <c r="AY206" s="6">
        <f>AX206/AX238</f>
        <v>0.34651162790697676</v>
      </c>
      <c r="AZ206" s="6">
        <f>149/$AZ$3</f>
        <v>0.34651162790697676</v>
      </c>
      <c r="BB206">
        <v>155</v>
      </c>
      <c r="BC206" s="6">
        <f>BB206/BB238</f>
        <v>0.36214953271028039</v>
      </c>
      <c r="BD206" s="6">
        <f>155/$BD$3</f>
        <v>0.36214953271028039</v>
      </c>
      <c r="BF206">
        <v>87</v>
      </c>
      <c r="BG206" s="6">
        <f>BF206/BF238</f>
        <v>0.35950413223140498</v>
      </c>
      <c r="BH206" s="6">
        <f>87/$BH$3</f>
        <v>0.35950413223140498</v>
      </c>
      <c r="BJ206">
        <v>128</v>
      </c>
      <c r="BK206" s="6">
        <f>BJ206/BJ238</f>
        <v>0.31761786600496278</v>
      </c>
      <c r="BL206" s="6">
        <f>128/$BL$3</f>
        <v>0.31761786600496278</v>
      </c>
      <c r="BN206">
        <v>152</v>
      </c>
      <c r="BO206" s="6">
        <f>BN206/BN238</f>
        <v>0.35933806146572106</v>
      </c>
      <c r="BP206" s="6">
        <f>152/$BP$3</f>
        <v>0.35933806146572106</v>
      </c>
      <c r="BR206">
        <v>111</v>
      </c>
      <c r="BS206" s="6">
        <f>BR206/BR238</f>
        <v>0.4051094890510949</v>
      </c>
      <c r="BT206" s="6">
        <f>111/$BT$3</f>
        <v>0.4051094890510949</v>
      </c>
      <c r="BV206">
        <v>114</v>
      </c>
      <c r="BW206" s="6">
        <f>BV206/BV238</f>
        <v>0.3737704918032787</v>
      </c>
      <c r="BX206" s="6">
        <f>114/$BX$3</f>
        <v>0.3737704918032787</v>
      </c>
      <c r="BZ206">
        <v>69</v>
      </c>
      <c r="CA206" s="6">
        <f>BZ206/BZ238</f>
        <v>0.3080357142857143</v>
      </c>
      <c r="CB206" s="6">
        <f>69/$CB$3</f>
        <v>0.3080357142857143</v>
      </c>
      <c r="CD206">
        <v>88</v>
      </c>
      <c r="CE206" s="6">
        <f>CD206/CD238</f>
        <v>0.36514522821576761</v>
      </c>
      <c r="CF206" s="6">
        <f>88/$CF$3</f>
        <v>0.36514522821576761</v>
      </c>
      <c r="CH206">
        <v>120</v>
      </c>
      <c r="CI206" s="6">
        <f>CH206/CH238</f>
        <v>0.36363636363636365</v>
      </c>
      <c r="CJ206" s="6">
        <f>120/$CJ$3</f>
        <v>0.36363636363636365</v>
      </c>
    </row>
    <row r="207" spans="1:88" x14ac:dyDescent="0.35">
      <c r="A207" s="1" t="s">
        <v>536</v>
      </c>
      <c r="B207">
        <v>108</v>
      </c>
      <c r="C207" s="6">
        <f>B207/B238</f>
        <v>9.8181818181818176E-2</v>
      </c>
      <c r="D207" s="6">
        <f>108/$D$3</f>
        <v>9.8181818181818176E-2</v>
      </c>
      <c r="F207">
        <v>97</v>
      </c>
      <c r="G207" s="6">
        <f>F207/F238</f>
        <v>0.10647639956092206</v>
      </c>
      <c r="H207" s="6">
        <f>97/$H$3</f>
        <v>0.10647639956092206</v>
      </c>
      <c r="J207">
        <v>59</v>
      </c>
      <c r="K207" s="6">
        <f>J207/J238</f>
        <v>0.13594470046082949</v>
      </c>
      <c r="L207" s="6">
        <f>59/$L$3</f>
        <v>0.13594470046082949</v>
      </c>
      <c r="N207">
        <v>8</v>
      </c>
      <c r="O207" s="6">
        <f>N207/N238</f>
        <v>9.8765432098765427E-2</v>
      </c>
      <c r="P207" s="6">
        <f>8/$P$3</f>
        <v>9.8765432098765427E-2</v>
      </c>
      <c r="R207">
        <v>51</v>
      </c>
      <c r="S207" s="6">
        <f>R207/R238</f>
        <v>9.1071428571428567E-2</v>
      </c>
      <c r="T207" s="6">
        <f>51/$T$3</f>
        <v>9.1071428571428567E-2</v>
      </c>
      <c r="V207">
        <v>57</v>
      </c>
      <c r="W207" s="6">
        <f>V207/V238</f>
        <v>0.10555555555555556</v>
      </c>
      <c r="X207" s="6">
        <f>57/$X$3</f>
        <v>0.10555555555555556</v>
      </c>
      <c r="Z207">
        <v>14</v>
      </c>
      <c r="AA207" s="6">
        <f>Z207/Z238</f>
        <v>0.12389380530973451</v>
      </c>
      <c r="AB207" s="6">
        <f>14/$AB$3</f>
        <v>0.12389380530973451</v>
      </c>
      <c r="AC207" s="7"/>
      <c r="AD207">
        <v>27</v>
      </c>
      <c r="AE207" s="6">
        <f>AD207/AD238</f>
        <v>0.13636363636363635</v>
      </c>
      <c r="AF207" s="6">
        <f>27/$AF$3</f>
        <v>0.13636363636363635</v>
      </c>
      <c r="AG207" s="7"/>
      <c r="AH207">
        <v>44</v>
      </c>
      <c r="AI207" s="6">
        <f>AH207/AH238</f>
        <v>0.17813765182186234</v>
      </c>
      <c r="AJ207" s="9">
        <f>44/$AJ$3</f>
        <v>0.17813765182186234</v>
      </c>
      <c r="AK207" s="7"/>
      <c r="AL207">
        <v>14</v>
      </c>
      <c r="AM207" s="6">
        <f>AL207/AL238</f>
        <v>6.0344827586206899E-2</v>
      </c>
      <c r="AN207" s="6">
        <f>14/$AN$3</f>
        <v>6.0344827586206899E-2</v>
      </c>
      <c r="AP207">
        <v>7</v>
      </c>
      <c r="AQ207" s="6">
        <f>AP207/AP238</f>
        <v>3.7634408602150539E-2</v>
      </c>
      <c r="AR207" s="8">
        <f>7/$AR$3</f>
        <v>3.7634408602150539E-2</v>
      </c>
      <c r="AT207">
        <v>2</v>
      </c>
      <c r="AU207" s="6">
        <f>AT207/AT238</f>
        <v>1.6129032258064516E-2</v>
      </c>
      <c r="AV207" s="8">
        <f>2/$AV$3</f>
        <v>1.6129032258064516E-2</v>
      </c>
      <c r="AX207">
        <v>60</v>
      </c>
      <c r="AY207" s="6">
        <f>AX207/AX238</f>
        <v>0.13953488372093023</v>
      </c>
      <c r="AZ207" s="6">
        <f>60/$AZ$3</f>
        <v>0.13953488372093023</v>
      </c>
      <c r="BA207" s="7" t="s">
        <v>5</v>
      </c>
      <c r="BB207">
        <v>35</v>
      </c>
      <c r="BC207" s="6">
        <f>BB207/BB238</f>
        <v>8.1775700934579434E-2</v>
      </c>
      <c r="BD207" s="6">
        <f>35/$BD$3</f>
        <v>8.1775700934579434E-2</v>
      </c>
      <c r="BF207">
        <v>13</v>
      </c>
      <c r="BG207" s="6">
        <f>BF207/BF238</f>
        <v>5.3719008264462811E-2</v>
      </c>
      <c r="BH207" s="6">
        <f>13/$BH$3</f>
        <v>5.3719008264462811E-2</v>
      </c>
      <c r="BJ207">
        <v>51</v>
      </c>
      <c r="BK207" s="6">
        <f>BJ207/BJ238</f>
        <v>0.12655086848635236</v>
      </c>
      <c r="BL207" s="6">
        <f>51/$BL$3</f>
        <v>0.12655086848635236</v>
      </c>
      <c r="BM207" s="7" t="s">
        <v>5</v>
      </c>
      <c r="BN207">
        <v>40</v>
      </c>
      <c r="BO207" s="6">
        <f>BN207/BN238</f>
        <v>9.4562647754137114E-2</v>
      </c>
      <c r="BP207" s="6">
        <f>40/$BP$3</f>
        <v>9.4562647754137114E-2</v>
      </c>
      <c r="BR207">
        <v>17</v>
      </c>
      <c r="BS207" s="6">
        <f>BR207/BR238</f>
        <v>6.2043795620437957E-2</v>
      </c>
      <c r="BT207" s="6">
        <f>17/$BT$3</f>
        <v>6.2043795620437957E-2</v>
      </c>
      <c r="BV207">
        <v>36</v>
      </c>
      <c r="BW207" s="6">
        <f>BV207/BV238</f>
        <v>0.11803278688524591</v>
      </c>
      <c r="BX207" s="6">
        <f>36/$BX$3</f>
        <v>0.11803278688524591</v>
      </c>
      <c r="BZ207">
        <v>16</v>
      </c>
      <c r="CA207" s="6">
        <f>BZ207/BZ238</f>
        <v>7.1428571428571425E-2</v>
      </c>
      <c r="CB207" s="6">
        <f>16/$CB$3</f>
        <v>7.1428571428571425E-2</v>
      </c>
      <c r="CD207">
        <v>22</v>
      </c>
      <c r="CE207" s="6">
        <f>CD207/CD238</f>
        <v>9.1286307053941904E-2</v>
      </c>
      <c r="CF207" s="6">
        <f>22/$CF$3</f>
        <v>9.1286307053941904E-2</v>
      </c>
      <c r="CH207">
        <v>34</v>
      </c>
      <c r="CI207" s="6">
        <f>CH207/CH238</f>
        <v>0.10303030303030303</v>
      </c>
      <c r="CJ207" s="6">
        <f>34/$CJ$3</f>
        <v>0.10303030303030303</v>
      </c>
    </row>
    <row r="208" spans="1:88" x14ac:dyDescent="0.35">
      <c r="A208" s="1" t="s">
        <v>537</v>
      </c>
      <c r="B208">
        <v>143</v>
      </c>
      <c r="C208" s="6">
        <f>B208/B238</f>
        <v>0.13</v>
      </c>
      <c r="D208" s="6">
        <f>143/$D$3</f>
        <v>0.13</v>
      </c>
      <c r="F208">
        <v>130</v>
      </c>
      <c r="G208" s="6">
        <f>F208/F238</f>
        <v>0.14270032930845225</v>
      </c>
      <c r="H208" s="6">
        <f>130/$H$3</f>
        <v>0.14270032930845225</v>
      </c>
      <c r="J208">
        <v>76</v>
      </c>
      <c r="K208" s="6">
        <f>J208/J238</f>
        <v>0.17511520737327188</v>
      </c>
      <c r="L208" s="6">
        <f>76/$L$3</f>
        <v>0.17511520737327188</v>
      </c>
      <c r="N208">
        <v>14</v>
      </c>
      <c r="O208" s="6">
        <f>N208/N238</f>
        <v>0.1728395061728395</v>
      </c>
      <c r="P208" s="6">
        <f>14/$P$3</f>
        <v>0.1728395061728395</v>
      </c>
      <c r="R208">
        <v>107</v>
      </c>
      <c r="S208" s="6">
        <f>R208/R238</f>
        <v>0.19107142857142856</v>
      </c>
      <c r="T208" s="9">
        <f>107/$T$3</f>
        <v>0.19107142857142856</v>
      </c>
      <c r="V208">
        <v>36</v>
      </c>
      <c r="W208" s="6">
        <f>V208/V238</f>
        <v>6.6666666666666666E-2</v>
      </c>
      <c r="X208" s="8">
        <f>36/$X$3</f>
        <v>6.6666666666666666E-2</v>
      </c>
      <c r="Z208">
        <v>21</v>
      </c>
      <c r="AA208" s="6">
        <f>Z208/Z238</f>
        <v>0.18584070796460178</v>
      </c>
      <c r="AB208" s="6">
        <f>21/$AB$3</f>
        <v>0.18584070796460178</v>
      </c>
      <c r="AD208">
        <v>29</v>
      </c>
      <c r="AE208" s="6">
        <f>AD208/AD238</f>
        <v>0.14646464646464646</v>
      </c>
      <c r="AF208" s="6">
        <f>29/$AF$3</f>
        <v>0.14646464646464646</v>
      </c>
      <c r="AH208">
        <v>24</v>
      </c>
      <c r="AI208" s="6">
        <f>AH208/AH238</f>
        <v>9.7165991902834009E-2</v>
      </c>
      <c r="AJ208" s="6">
        <f>24/$AJ$3</f>
        <v>9.7165991902834009E-2</v>
      </c>
      <c r="AL208">
        <v>31</v>
      </c>
      <c r="AM208" s="6">
        <f>AL208/AL238</f>
        <v>0.1336206896551724</v>
      </c>
      <c r="AN208" s="6">
        <f>31/$AN$3</f>
        <v>0.1336206896551724</v>
      </c>
      <c r="AP208">
        <v>22</v>
      </c>
      <c r="AQ208" s="6">
        <f>AP208/AP238</f>
        <v>0.11827956989247312</v>
      </c>
      <c r="AR208" s="6">
        <f>22/$AR$3</f>
        <v>0.11827956989247312</v>
      </c>
      <c r="AT208">
        <v>16</v>
      </c>
      <c r="AU208" s="6">
        <f>AT208/AT238</f>
        <v>0.12903225806451613</v>
      </c>
      <c r="AV208" s="6">
        <f>16/$AV$3</f>
        <v>0.12903225806451613</v>
      </c>
      <c r="AX208">
        <v>57</v>
      </c>
      <c r="AY208" s="6">
        <f>AX208/AX238</f>
        <v>0.13255813953488371</v>
      </c>
      <c r="AZ208" s="6">
        <f>57/$AZ$3</f>
        <v>0.13255813953488371</v>
      </c>
      <c r="BB208">
        <v>53</v>
      </c>
      <c r="BC208" s="6">
        <f>BB208/BB238</f>
        <v>0.12383177570093458</v>
      </c>
      <c r="BD208" s="6">
        <f>53/$BD$3</f>
        <v>0.12383177570093458</v>
      </c>
      <c r="BF208">
        <v>33</v>
      </c>
      <c r="BG208" s="6">
        <f>BF208/BF238</f>
        <v>0.13636363636363635</v>
      </c>
      <c r="BH208" s="6">
        <f>33/$BH$3</f>
        <v>0.13636363636363635</v>
      </c>
      <c r="BJ208">
        <v>38</v>
      </c>
      <c r="BK208" s="6">
        <f>BJ208/BJ238</f>
        <v>9.4292803970223327E-2</v>
      </c>
      <c r="BL208" s="6">
        <f>38/$BL$3</f>
        <v>9.4292803970223327E-2</v>
      </c>
      <c r="BN208">
        <v>55</v>
      </c>
      <c r="BO208" s="6">
        <f>BN208/BN238</f>
        <v>0.13002364066193853</v>
      </c>
      <c r="BP208" s="6">
        <f>55/$BP$3</f>
        <v>0.13002364066193853</v>
      </c>
      <c r="BR208">
        <v>50</v>
      </c>
      <c r="BS208" s="6">
        <f>BR208/BR238</f>
        <v>0.18248175182481752</v>
      </c>
      <c r="BT208" s="9">
        <f>50/$BT$3</f>
        <v>0.18248175182481752</v>
      </c>
      <c r="BU208" s="7"/>
      <c r="BV208">
        <v>42</v>
      </c>
      <c r="BW208" s="6">
        <f>BV208/BV238</f>
        <v>0.13770491803278689</v>
      </c>
      <c r="BX208" s="6">
        <f>42/$BX$3</f>
        <v>0.13770491803278689</v>
      </c>
      <c r="BZ208">
        <v>31</v>
      </c>
      <c r="CA208" s="6">
        <f>BZ208/BZ238</f>
        <v>0.13839285714285715</v>
      </c>
      <c r="CB208" s="6">
        <f>31/$CB$3</f>
        <v>0.13839285714285715</v>
      </c>
      <c r="CD208">
        <v>26</v>
      </c>
      <c r="CE208" s="6">
        <f>CD208/CD238</f>
        <v>0.1078838174273859</v>
      </c>
      <c r="CF208" s="6">
        <f>26/$CF$3</f>
        <v>0.1078838174273859</v>
      </c>
      <c r="CH208">
        <v>44</v>
      </c>
      <c r="CI208" s="6">
        <f>CH208/CH238</f>
        <v>0.13333333333333333</v>
      </c>
      <c r="CJ208" s="6">
        <f>44/$CJ$3</f>
        <v>0.13333333333333333</v>
      </c>
    </row>
    <row r="210" spans="1:88" x14ac:dyDescent="0.35">
      <c r="A210" s="1" t="s">
        <v>538</v>
      </c>
      <c r="B210">
        <v>405</v>
      </c>
      <c r="C210" s="6">
        <f>B210/B238</f>
        <v>0.36818181818181817</v>
      </c>
      <c r="D210" s="6">
        <f>405/$D$3</f>
        <v>0.36818181818181817</v>
      </c>
      <c r="F210">
        <v>338</v>
      </c>
      <c r="G210" s="6">
        <f>F210/F238</f>
        <v>0.37102085620197583</v>
      </c>
      <c r="H210" s="6">
        <f>338/$H$3</f>
        <v>0.37102085620197583</v>
      </c>
      <c r="J210">
        <v>173</v>
      </c>
      <c r="K210" s="6">
        <f>J210/J238</f>
        <v>0.39861751152073732</v>
      </c>
      <c r="L210" s="6">
        <f>173/$L$3</f>
        <v>0.39861751152073732</v>
      </c>
      <c r="N210">
        <v>30</v>
      </c>
      <c r="O210" s="6">
        <f>N210/N238</f>
        <v>0.37037037037037035</v>
      </c>
      <c r="P210" s="6">
        <f>30/$P$3</f>
        <v>0.37037037037037035</v>
      </c>
      <c r="R210">
        <v>192</v>
      </c>
      <c r="S210" s="6">
        <f>R210/R238</f>
        <v>0.34285714285714286</v>
      </c>
      <c r="T210" s="6">
        <f>192/$T$3</f>
        <v>0.34285714285714286</v>
      </c>
      <c r="V210">
        <v>213</v>
      </c>
      <c r="W210" s="6">
        <f>V210/V238</f>
        <v>0.39444444444444443</v>
      </c>
      <c r="X210" s="6">
        <f>213/$X$3</f>
        <v>0.39444444444444443</v>
      </c>
      <c r="Z210">
        <v>47</v>
      </c>
      <c r="AA210" s="6">
        <f>Z210/Z238</f>
        <v>0.41592920353982299</v>
      </c>
      <c r="AB210" s="6">
        <f>47/$AB$3</f>
        <v>0.41592920353982299</v>
      </c>
      <c r="AD210">
        <v>73</v>
      </c>
      <c r="AE210" s="6">
        <f>AD210/AD238</f>
        <v>0.36868686868686867</v>
      </c>
      <c r="AF210" s="6">
        <f>73/$AF$3</f>
        <v>0.36868686868686867</v>
      </c>
      <c r="AH210">
        <v>104</v>
      </c>
      <c r="AI210" s="6">
        <f>AH210/AH238</f>
        <v>0.42105263157894735</v>
      </c>
      <c r="AJ210" s="6">
        <f>104/$AJ$3</f>
        <v>0.42105263157894735</v>
      </c>
      <c r="AK210" s="7"/>
      <c r="AL210">
        <v>81</v>
      </c>
      <c r="AM210" s="6">
        <f>AL210/AL238</f>
        <v>0.34913793103448276</v>
      </c>
      <c r="AN210" s="6">
        <f>81/$AN$3</f>
        <v>0.34913793103448276</v>
      </c>
      <c r="AP210">
        <v>66</v>
      </c>
      <c r="AQ210" s="6">
        <f>AP210/AP238</f>
        <v>0.35483870967741937</v>
      </c>
      <c r="AR210" s="6">
        <f>66/$AR$3</f>
        <v>0.35483870967741937</v>
      </c>
      <c r="AT210">
        <v>34</v>
      </c>
      <c r="AU210" s="6">
        <f>AT210/AT238</f>
        <v>0.27419354838709675</v>
      </c>
      <c r="AV210" s="8">
        <f>34/$AV$3</f>
        <v>0.27419354838709675</v>
      </c>
      <c r="AX210">
        <v>146</v>
      </c>
      <c r="AY210" s="6">
        <f>AX210/AX238</f>
        <v>0.33953488372093021</v>
      </c>
      <c r="AZ210" s="6">
        <f>146/$AZ$3</f>
        <v>0.33953488372093021</v>
      </c>
      <c r="BB210">
        <v>156</v>
      </c>
      <c r="BC210" s="6">
        <f>BB210/BB238</f>
        <v>0.3644859813084112</v>
      </c>
      <c r="BD210" s="6">
        <f>156/$BD$3</f>
        <v>0.3644859813084112</v>
      </c>
      <c r="BF210">
        <v>103</v>
      </c>
      <c r="BG210" s="6">
        <f>BF210/BF238</f>
        <v>0.42561983471074383</v>
      </c>
      <c r="BH210" s="9">
        <f>103/$BH$3</f>
        <v>0.42561983471074383</v>
      </c>
      <c r="BJ210">
        <v>146</v>
      </c>
      <c r="BK210" s="6">
        <f>BJ210/BJ238</f>
        <v>0.36228287841191065</v>
      </c>
      <c r="BL210" s="6">
        <f>146/$BL$3</f>
        <v>0.36228287841191065</v>
      </c>
      <c r="BN210">
        <v>142</v>
      </c>
      <c r="BO210" s="6">
        <f>BN210/BN238</f>
        <v>0.33569739952718675</v>
      </c>
      <c r="BP210" s="6">
        <f>142/$BP$3</f>
        <v>0.33569739952718675</v>
      </c>
      <c r="BR210">
        <v>117</v>
      </c>
      <c r="BS210" s="6">
        <f>BR210/BR238</f>
        <v>0.42700729927007297</v>
      </c>
      <c r="BT210" s="9">
        <f>117/$BT$3</f>
        <v>0.42700729927007297</v>
      </c>
      <c r="BV210">
        <v>103</v>
      </c>
      <c r="BW210" s="6">
        <f>BV210/BV238</f>
        <v>0.3377049180327869</v>
      </c>
      <c r="BX210" s="6">
        <f>103/$BX$3</f>
        <v>0.3377049180327869</v>
      </c>
      <c r="BZ210">
        <v>88</v>
      </c>
      <c r="CA210" s="6">
        <f>BZ210/BZ238</f>
        <v>0.39285714285714285</v>
      </c>
      <c r="CB210" s="6">
        <f>88/$CB$3</f>
        <v>0.39285714285714285</v>
      </c>
      <c r="CD210">
        <v>76</v>
      </c>
      <c r="CE210" s="6">
        <f>CD210/CD238</f>
        <v>0.31535269709543567</v>
      </c>
      <c r="CF210" s="6">
        <f>76/$CF$3</f>
        <v>0.31535269709543567</v>
      </c>
      <c r="CH210">
        <v>138</v>
      </c>
      <c r="CI210" s="6">
        <f>CH210/CH238</f>
        <v>0.41818181818181815</v>
      </c>
      <c r="CJ210" s="6">
        <f>138/$CJ$3</f>
        <v>0.41818181818181815</v>
      </c>
    </row>
    <row r="211" spans="1:88" x14ac:dyDescent="0.35">
      <c r="A211" s="1" t="s">
        <v>539</v>
      </c>
      <c r="B211">
        <v>455</v>
      </c>
      <c r="C211" s="6">
        <f>B211/B238</f>
        <v>0.41363636363636364</v>
      </c>
      <c r="D211" s="6">
        <f>455/$D$3</f>
        <v>0.41363636363636364</v>
      </c>
      <c r="F211">
        <v>379</v>
      </c>
      <c r="G211" s="6">
        <f>F211/F238</f>
        <v>0.41602634467618005</v>
      </c>
      <c r="H211" s="6">
        <f>379/$H$3</f>
        <v>0.41602634467618005</v>
      </c>
      <c r="J211">
        <v>182</v>
      </c>
      <c r="K211" s="6">
        <f>J211/J238</f>
        <v>0.41935483870967744</v>
      </c>
      <c r="L211" s="6">
        <f>182/$L$3</f>
        <v>0.41935483870967744</v>
      </c>
      <c r="N211">
        <v>36</v>
      </c>
      <c r="O211" s="6">
        <f>N211/N238</f>
        <v>0.44444444444444442</v>
      </c>
      <c r="P211" s="6">
        <f>36/$P$3</f>
        <v>0.44444444444444442</v>
      </c>
      <c r="R211">
        <v>228</v>
      </c>
      <c r="S211" s="6">
        <f>R211/R238</f>
        <v>0.40714285714285714</v>
      </c>
      <c r="T211" s="6">
        <f>228/$T$3</f>
        <v>0.40714285714285714</v>
      </c>
      <c r="V211">
        <v>227</v>
      </c>
      <c r="W211" s="6">
        <f>V211/V238</f>
        <v>0.42037037037037039</v>
      </c>
      <c r="X211" s="6">
        <f>227/$X$3</f>
        <v>0.42037037037037039</v>
      </c>
      <c r="Z211">
        <v>48</v>
      </c>
      <c r="AA211" s="6">
        <f>Z211/Z238</f>
        <v>0.4247787610619469</v>
      </c>
      <c r="AB211" s="6">
        <f>48/$AB$3</f>
        <v>0.4247787610619469</v>
      </c>
      <c r="AD211">
        <v>91</v>
      </c>
      <c r="AE211" s="6">
        <f>AD211/AD238</f>
        <v>0.45959595959595961</v>
      </c>
      <c r="AF211" s="6">
        <f>91/$AF$3</f>
        <v>0.45959595959595961</v>
      </c>
      <c r="AH211">
        <v>110</v>
      </c>
      <c r="AI211" s="6">
        <f>AH211/AH238</f>
        <v>0.44534412955465585</v>
      </c>
      <c r="AJ211" s="6">
        <f>110/$AJ$3</f>
        <v>0.44534412955465585</v>
      </c>
      <c r="AL211">
        <v>91</v>
      </c>
      <c r="AM211" s="6">
        <f>AL211/AL238</f>
        <v>0.39224137931034481</v>
      </c>
      <c r="AN211" s="6">
        <f>91/$AN$3</f>
        <v>0.39224137931034481</v>
      </c>
      <c r="AP211">
        <v>63</v>
      </c>
      <c r="AQ211" s="6">
        <f>AP211/AP238</f>
        <v>0.33870967741935482</v>
      </c>
      <c r="AR211" s="8">
        <f>63/$AR$3</f>
        <v>0.33870967741935482</v>
      </c>
      <c r="AT211">
        <v>52</v>
      </c>
      <c r="AU211" s="6">
        <f>AT211/AT238</f>
        <v>0.41935483870967744</v>
      </c>
      <c r="AV211" s="6">
        <f>52/$AV$3</f>
        <v>0.41935483870967744</v>
      </c>
      <c r="AX211">
        <v>176</v>
      </c>
      <c r="AY211" s="6">
        <f>AX211/AX238</f>
        <v>0.40930232558139534</v>
      </c>
      <c r="AZ211" s="6">
        <f>176/$AZ$3</f>
        <v>0.40930232558139534</v>
      </c>
      <c r="BB211">
        <v>181</v>
      </c>
      <c r="BC211" s="6">
        <f>BB211/BB238</f>
        <v>0.42289719626168226</v>
      </c>
      <c r="BD211" s="6">
        <f>181/$BD$3</f>
        <v>0.42289719626168226</v>
      </c>
      <c r="BF211">
        <v>98</v>
      </c>
      <c r="BG211" s="6">
        <f>BF211/BF238</f>
        <v>0.4049586776859504</v>
      </c>
      <c r="BH211" s="6">
        <f>98/$BH$3</f>
        <v>0.4049586776859504</v>
      </c>
      <c r="BJ211">
        <v>178</v>
      </c>
      <c r="BK211" s="6">
        <f>BJ211/BJ238</f>
        <v>0.44168734491315137</v>
      </c>
      <c r="BL211" s="6">
        <f>178/$BL$3</f>
        <v>0.44168734491315137</v>
      </c>
      <c r="BN211">
        <v>168</v>
      </c>
      <c r="BO211" s="6">
        <f>BN211/BN238</f>
        <v>0.3971631205673759</v>
      </c>
      <c r="BP211" s="6">
        <f>168/$BP$3</f>
        <v>0.3971631205673759</v>
      </c>
      <c r="BR211">
        <v>109</v>
      </c>
      <c r="BS211" s="6">
        <f>BR211/BR238</f>
        <v>0.3978102189781022</v>
      </c>
      <c r="BT211" s="6">
        <f>109/$BT$3</f>
        <v>0.3978102189781022</v>
      </c>
      <c r="BV211">
        <v>119</v>
      </c>
      <c r="BW211" s="6">
        <f>BV211/BV238</f>
        <v>0.39016393442622949</v>
      </c>
      <c r="BX211" s="6">
        <f>119/$BX$3</f>
        <v>0.39016393442622949</v>
      </c>
      <c r="BZ211">
        <v>113</v>
      </c>
      <c r="CA211" s="6">
        <f>BZ211/BZ238</f>
        <v>0.5044642857142857</v>
      </c>
      <c r="CB211" s="9">
        <f>113/$CB$3</f>
        <v>0.5044642857142857</v>
      </c>
      <c r="CD211">
        <v>92</v>
      </c>
      <c r="CE211" s="6">
        <f>CD211/CD238</f>
        <v>0.38174273858921159</v>
      </c>
      <c r="CF211" s="6">
        <f>92/$CF$3</f>
        <v>0.38174273858921159</v>
      </c>
      <c r="CH211">
        <v>131</v>
      </c>
      <c r="CI211" s="6">
        <f>CH211/CH238</f>
        <v>0.39696969696969697</v>
      </c>
      <c r="CJ211" s="6">
        <f>131/$CJ$3</f>
        <v>0.39696969696969697</v>
      </c>
    </row>
    <row r="212" spans="1:88" x14ac:dyDescent="0.35">
      <c r="A212" s="1" t="s">
        <v>540</v>
      </c>
      <c r="B212">
        <v>501</v>
      </c>
      <c r="C212" s="6">
        <f>B212/B238</f>
        <v>0.45545454545454545</v>
      </c>
      <c r="D212" s="6">
        <f>501/$D$3</f>
        <v>0.45545454545454545</v>
      </c>
      <c r="F212">
        <v>425</v>
      </c>
      <c r="G212" s="6">
        <f>F212/F238</f>
        <v>0.46652030735455541</v>
      </c>
      <c r="H212" s="6">
        <f>425/$H$3</f>
        <v>0.46652030735455541</v>
      </c>
      <c r="J212">
        <v>185</v>
      </c>
      <c r="K212" s="6">
        <f>J212/J238</f>
        <v>0.42626728110599077</v>
      </c>
      <c r="L212" s="6">
        <f>185/$L$3</f>
        <v>0.42626728110599077</v>
      </c>
      <c r="N212">
        <v>34</v>
      </c>
      <c r="O212" s="6">
        <f>N212/N238</f>
        <v>0.41975308641975306</v>
      </c>
      <c r="P212" s="6">
        <f>34/$P$3</f>
        <v>0.41975308641975306</v>
      </c>
      <c r="R212">
        <v>241</v>
      </c>
      <c r="S212" s="6">
        <f>R212/R238</f>
        <v>0.43035714285714288</v>
      </c>
      <c r="T212" s="6">
        <f>241/$T$3</f>
        <v>0.43035714285714288</v>
      </c>
      <c r="V212">
        <v>260</v>
      </c>
      <c r="W212" s="6">
        <f>V212/V238</f>
        <v>0.48148148148148145</v>
      </c>
      <c r="X212" s="6">
        <f>260/$X$3</f>
        <v>0.48148148148148145</v>
      </c>
      <c r="Z212">
        <v>47</v>
      </c>
      <c r="AA212" s="6">
        <f>Z212/Z238</f>
        <v>0.41592920353982299</v>
      </c>
      <c r="AB212" s="6">
        <f>47/$AB$3</f>
        <v>0.41592920353982299</v>
      </c>
      <c r="AD212">
        <v>94</v>
      </c>
      <c r="AE212" s="6">
        <f>AD212/AD238</f>
        <v>0.47474747474747475</v>
      </c>
      <c r="AF212" s="6">
        <f>94/$AF$3</f>
        <v>0.47474747474747475</v>
      </c>
      <c r="AH212">
        <v>114</v>
      </c>
      <c r="AI212" s="6">
        <f>AH212/AH238</f>
        <v>0.46153846153846156</v>
      </c>
      <c r="AJ212" s="6">
        <f>114/$AJ$3</f>
        <v>0.46153846153846156</v>
      </c>
      <c r="AL212">
        <v>101</v>
      </c>
      <c r="AM212" s="6">
        <f>AL212/AL238</f>
        <v>0.43534482758620691</v>
      </c>
      <c r="AN212" s="6">
        <f>101/$AN$3</f>
        <v>0.43534482758620691</v>
      </c>
      <c r="AP212">
        <v>87</v>
      </c>
      <c r="AQ212" s="6">
        <f>AP212/AP238</f>
        <v>0.46774193548387094</v>
      </c>
      <c r="AR212" s="6">
        <f>87/$AR$3</f>
        <v>0.46774193548387094</v>
      </c>
      <c r="AT212">
        <v>58</v>
      </c>
      <c r="AU212" s="6">
        <f>AT212/AT238</f>
        <v>0.46774193548387094</v>
      </c>
      <c r="AV212" s="6">
        <f>58/$AV$3</f>
        <v>0.46774193548387094</v>
      </c>
      <c r="AX212">
        <v>186</v>
      </c>
      <c r="AY212" s="6">
        <f>AX212/AX238</f>
        <v>0.4325581395348837</v>
      </c>
      <c r="AZ212" s="6">
        <f>186/$AZ$3</f>
        <v>0.4325581395348837</v>
      </c>
      <c r="BB212">
        <v>183</v>
      </c>
      <c r="BC212" s="6">
        <f>BB212/BB238</f>
        <v>0.42757009345794394</v>
      </c>
      <c r="BD212" s="6">
        <f>183/$BD$3</f>
        <v>0.42757009345794394</v>
      </c>
      <c r="BF212">
        <v>132</v>
      </c>
      <c r="BG212" s="6">
        <f>BF212/BF238</f>
        <v>0.54545454545454541</v>
      </c>
      <c r="BH212" s="9">
        <f>132/$BH$3</f>
        <v>0.54545454545454541</v>
      </c>
      <c r="BI212" s="7" t="s">
        <v>408</v>
      </c>
      <c r="BJ212">
        <v>177</v>
      </c>
      <c r="BK212" s="6">
        <f>BJ212/BJ238</f>
        <v>0.43920595533498757</v>
      </c>
      <c r="BL212" s="6">
        <f>177/$BL$3</f>
        <v>0.43920595533498757</v>
      </c>
      <c r="BN212">
        <v>204</v>
      </c>
      <c r="BO212" s="6">
        <f>BN212/BN238</f>
        <v>0.48226950354609927</v>
      </c>
      <c r="BP212" s="6">
        <f>204/$BP$3</f>
        <v>0.48226950354609927</v>
      </c>
      <c r="BR212">
        <v>120</v>
      </c>
      <c r="BS212" s="6">
        <f>BR212/BR238</f>
        <v>0.43795620437956206</v>
      </c>
      <c r="BT212" s="6">
        <f>120/$BT$3</f>
        <v>0.43795620437956206</v>
      </c>
      <c r="BV212">
        <v>142</v>
      </c>
      <c r="BW212" s="6">
        <f>BV212/BV238</f>
        <v>0.46557377049180326</v>
      </c>
      <c r="BX212" s="6">
        <f>142/$BX$3</f>
        <v>0.46557377049180326</v>
      </c>
      <c r="BZ212">
        <v>108</v>
      </c>
      <c r="CA212" s="6">
        <f>BZ212/BZ238</f>
        <v>0.48214285714285715</v>
      </c>
      <c r="CB212" s="6">
        <f>108/$CB$3</f>
        <v>0.48214285714285715</v>
      </c>
      <c r="CD212">
        <v>97</v>
      </c>
      <c r="CE212" s="6">
        <f>CD212/CD238</f>
        <v>0.40248962655601661</v>
      </c>
      <c r="CF212" s="6">
        <f>97/$CF$3</f>
        <v>0.40248962655601661</v>
      </c>
      <c r="CH212">
        <v>154</v>
      </c>
      <c r="CI212" s="6">
        <f>CH212/CH238</f>
        <v>0.46666666666666667</v>
      </c>
      <c r="CJ212" s="6">
        <f>154/$CJ$3</f>
        <v>0.46666666666666667</v>
      </c>
    </row>
    <row r="213" spans="1:88" x14ac:dyDescent="0.35">
      <c r="A213" s="1" t="s">
        <v>541</v>
      </c>
      <c r="B213">
        <v>441</v>
      </c>
      <c r="C213" s="6">
        <f>B213/B238</f>
        <v>0.40090909090909088</v>
      </c>
      <c r="D213" s="6">
        <f>441/$D$3</f>
        <v>0.40090909090909088</v>
      </c>
      <c r="F213">
        <v>362</v>
      </c>
      <c r="G213" s="6">
        <f>F213/F238</f>
        <v>0.39736553238199779</v>
      </c>
      <c r="H213" s="6">
        <f>362/$H$3</f>
        <v>0.39736553238199779</v>
      </c>
      <c r="J213">
        <v>159</v>
      </c>
      <c r="K213" s="6">
        <f>J213/J238</f>
        <v>0.36635944700460832</v>
      </c>
      <c r="L213" s="6">
        <f>159/$L$3</f>
        <v>0.36635944700460832</v>
      </c>
      <c r="N213">
        <v>40</v>
      </c>
      <c r="O213" s="6">
        <f>N213/N238</f>
        <v>0.49382716049382713</v>
      </c>
      <c r="P213" s="6">
        <f>40/$P$3</f>
        <v>0.49382716049382713</v>
      </c>
      <c r="R213">
        <v>215</v>
      </c>
      <c r="S213" s="6">
        <f>R213/R238</f>
        <v>0.38392857142857145</v>
      </c>
      <c r="T213" s="6">
        <f>215/$T$3</f>
        <v>0.38392857142857145</v>
      </c>
      <c r="V213">
        <v>226</v>
      </c>
      <c r="W213" s="6">
        <f>V213/V238</f>
        <v>0.41851851851851851</v>
      </c>
      <c r="X213" s="6">
        <f>226/$X$3</f>
        <v>0.41851851851851851</v>
      </c>
      <c r="Z213">
        <v>38</v>
      </c>
      <c r="AA213" s="6">
        <f>Z213/Z238</f>
        <v>0.33628318584070799</v>
      </c>
      <c r="AB213" s="6">
        <f>38/$AB$3</f>
        <v>0.33628318584070799</v>
      </c>
      <c r="AD213">
        <v>79</v>
      </c>
      <c r="AE213" s="6">
        <f>AD213/AD238</f>
        <v>0.39898989898989901</v>
      </c>
      <c r="AF213" s="6">
        <f>79/$AF$3</f>
        <v>0.39898989898989901</v>
      </c>
      <c r="AH213">
        <v>102</v>
      </c>
      <c r="AI213" s="6">
        <f>AH213/AH238</f>
        <v>0.41295546558704455</v>
      </c>
      <c r="AJ213" s="6">
        <f>102/$AJ$3</f>
        <v>0.41295546558704455</v>
      </c>
      <c r="AL213">
        <v>92</v>
      </c>
      <c r="AM213" s="6">
        <f>AL213/AL238</f>
        <v>0.39655172413793105</v>
      </c>
      <c r="AN213" s="6">
        <f>92/$AN$3</f>
        <v>0.39655172413793105</v>
      </c>
      <c r="AP213">
        <v>79</v>
      </c>
      <c r="AQ213" s="6">
        <f>AP213/AP238</f>
        <v>0.42473118279569894</v>
      </c>
      <c r="AR213" s="6">
        <f>79/$AR$3</f>
        <v>0.42473118279569894</v>
      </c>
      <c r="AT213">
        <v>51</v>
      </c>
      <c r="AU213" s="6">
        <f>AT213/AT238</f>
        <v>0.41129032258064518</v>
      </c>
      <c r="AV213" s="6">
        <f>51/$AV$3</f>
        <v>0.41129032258064518</v>
      </c>
      <c r="AX213">
        <v>166</v>
      </c>
      <c r="AY213" s="6">
        <f>AX213/AX238</f>
        <v>0.38604651162790699</v>
      </c>
      <c r="AZ213" s="6">
        <f>166/$AZ$3</f>
        <v>0.38604651162790699</v>
      </c>
      <c r="BB213">
        <v>168</v>
      </c>
      <c r="BC213" s="6">
        <f>BB213/BB238</f>
        <v>0.3925233644859813</v>
      </c>
      <c r="BD213" s="6">
        <f>168/$BD$3</f>
        <v>0.3925233644859813</v>
      </c>
      <c r="BF213">
        <v>107</v>
      </c>
      <c r="BG213" s="6">
        <f>BF213/BF238</f>
        <v>0.44214876033057854</v>
      </c>
      <c r="BH213" s="6">
        <f>107/$BH$3</f>
        <v>0.44214876033057854</v>
      </c>
      <c r="BJ213">
        <v>173</v>
      </c>
      <c r="BK213" s="6">
        <f>BJ213/BJ238</f>
        <v>0.4292803970223325</v>
      </c>
      <c r="BL213" s="6">
        <f>173/$BL$3</f>
        <v>0.4292803970223325</v>
      </c>
      <c r="BN213">
        <v>148</v>
      </c>
      <c r="BO213" s="6">
        <f>BN213/BN238</f>
        <v>0.34988179669030733</v>
      </c>
      <c r="BP213" s="8">
        <f>148/$BP$3</f>
        <v>0.34988179669030733</v>
      </c>
      <c r="BR213">
        <v>120</v>
      </c>
      <c r="BS213" s="6">
        <f>BR213/BR238</f>
        <v>0.43795620437956206</v>
      </c>
      <c r="BT213" s="6">
        <f>120/$BT$3</f>
        <v>0.43795620437956206</v>
      </c>
      <c r="BV213">
        <v>120</v>
      </c>
      <c r="BW213" s="6">
        <f>BV213/BV238</f>
        <v>0.39344262295081966</v>
      </c>
      <c r="BX213" s="6">
        <f>120/$BX$3</f>
        <v>0.39344262295081966</v>
      </c>
      <c r="BZ213">
        <v>79</v>
      </c>
      <c r="CA213" s="6">
        <f>BZ213/BZ238</f>
        <v>0.35267857142857145</v>
      </c>
      <c r="CB213" s="6">
        <f>79/$CB$3</f>
        <v>0.35267857142857145</v>
      </c>
      <c r="CD213">
        <v>97</v>
      </c>
      <c r="CE213" s="6">
        <f>CD213/CD238</f>
        <v>0.40248962655601661</v>
      </c>
      <c r="CF213" s="6">
        <f>97/$CF$3</f>
        <v>0.40248962655601661</v>
      </c>
      <c r="CH213">
        <v>145</v>
      </c>
      <c r="CI213" s="6">
        <f>CH213/CH238</f>
        <v>0.43939393939393939</v>
      </c>
      <c r="CJ213" s="6">
        <f>145/$CJ$3</f>
        <v>0.43939393939393939</v>
      </c>
    </row>
    <row r="214" spans="1:88" x14ac:dyDescent="0.35">
      <c r="A214" s="1" t="s">
        <v>542</v>
      </c>
      <c r="B214">
        <v>560</v>
      </c>
      <c r="C214" s="6">
        <f>B214/B238</f>
        <v>0.50909090909090904</v>
      </c>
      <c r="D214" s="6">
        <f>560/$D$3</f>
        <v>0.50909090909090904</v>
      </c>
      <c r="F214">
        <v>465</v>
      </c>
      <c r="G214" s="6">
        <f>F214/F238</f>
        <v>0.51042810098792535</v>
      </c>
      <c r="H214" s="6">
        <f>465/$H$3</f>
        <v>0.51042810098792535</v>
      </c>
      <c r="J214">
        <v>230</v>
      </c>
      <c r="K214" s="6">
        <f>J214/J238</f>
        <v>0.52995391705069128</v>
      </c>
      <c r="L214" s="6">
        <f>230/$L$3</f>
        <v>0.52995391705069128</v>
      </c>
      <c r="N214">
        <v>35</v>
      </c>
      <c r="O214" s="6">
        <f>N214/N238</f>
        <v>0.43209876543209874</v>
      </c>
      <c r="P214" s="6">
        <f>35/$P$3</f>
        <v>0.43209876543209874</v>
      </c>
      <c r="R214">
        <v>293</v>
      </c>
      <c r="S214" s="6">
        <f>R214/R238</f>
        <v>0.52321428571428574</v>
      </c>
      <c r="T214" s="6">
        <f>293/$T$3</f>
        <v>0.52321428571428574</v>
      </c>
      <c r="V214">
        <v>267</v>
      </c>
      <c r="W214" s="6">
        <f>V214/V238</f>
        <v>0.49444444444444446</v>
      </c>
      <c r="X214" s="6">
        <f>267/$X$3</f>
        <v>0.49444444444444446</v>
      </c>
      <c r="Z214">
        <v>52</v>
      </c>
      <c r="AA214" s="6">
        <f>Z214/Z238</f>
        <v>0.46017699115044247</v>
      </c>
      <c r="AB214" s="6">
        <f>52/$AB$3</f>
        <v>0.46017699115044247</v>
      </c>
      <c r="AD214">
        <v>106</v>
      </c>
      <c r="AE214" s="6">
        <f>AD214/AD238</f>
        <v>0.53535353535353536</v>
      </c>
      <c r="AF214" s="6">
        <f>106/$AF$3</f>
        <v>0.53535353535353536</v>
      </c>
      <c r="AH214">
        <v>126</v>
      </c>
      <c r="AI214" s="6">
        <f>AH214/AH238</f>
        <v>0.51012145748987858</v>
      </c>
      <c r="AJ214" s="6">
        <f>126/$AJ$3</f>
        <v>0.51012145748987858</v>
      </c>
      <c r="AL214">
        <v>128</v>
      </c>
      <c r="AM214" s="6">
        <f>AL214/AL238</f>
        <v>0.55172413793103448</v>
      </c>
      <c r="AN214" s="6">
        <f>128/$AN$3</f>
        <v>0.55172413793103448</v>
      </c>
      <c r="AP214">
        <v>90</v>
      </c>
      <c r="AQ214" s="6">
        <f>AP214/AP238</f>
        <v>0.4838709677419355</v>
      </c>
      <c r="AR214" s="6">
        <f>90/$AR$3</f>
        <v>0.4838709677419355</v>
      </c>
      <c r="AT214">
        <v>58</v>
      </c>
      <c r="AU214" s="6">
        <f>AT214/AT238</f>
        <v>0.46774193548387094</v>
      </c>
      <c r="AV214" s="6">
        <f>58/$AV$3</f>
        <v>0.46774193548387094</v>
      </c>
      <c r="AX214">
        <v>220</v>
      </c>
      <c r="AY214" s="6">
        <f>AX214/AX238</f>
        <v>0.51162790697674421</v>
      </c>
      <c r="AZ214" s="6">
        <f>220/$AZ$3</f>
        <v>0.51162790697674421</v>
      </c>
      <c r="BB214">
        <v>217</v>
      </c>
      <c r="BC214" s="6">
        <f>BB214/BB238</f>
        <v>0.5070093457943925</v>
      </c>
      <c r="BD214" s="6">
        <f>217/$BD$3</f>
        <v>0.5070093457943925</v>
      </c>
      <c r="BF214">
        <v>123</v>
      </c>
      <c r="BG214" s="6">
        <f>BF214/BF238</f>
        <v>0.50826446280991733</v>
      </c>
      <c r="BH214" s="6">
        <f>123/$BH$3</f>
        <v>0.50826446280991733</v>
      </c>
      <c r="BJ214">
        <v>207</v>
      </c>
      <c r="BK214" s="6">
        <f>BJ214/BJ238</f>
        <v>0.51364764267990071</v>
      </c>
      <c r="BL214" s="6">
        <f>207/$BL$3</f>
        <v>0.51364764267990071</v>
      </c>
      <c r="BN214">
        <v>199</v>
      </c>
      <c r="BO214" s="6">
        <f>BN214/BN238</f>
        <v>0.47044917257683216</v>
      </c>
      <c r="BP214" s="6">
        <f>199/$BP$3</f>
        <v>0.47044917257683216</v>
      </c>
      <c r="BR214">
        <v>154</v>
      </c>
      <c r="BS214" s="6">
        <f>BR214/BR238</f>
        <v>0.56204379562043794</v>
      </c>
      <c r="BT214" s="9">
        <f>154/$BT$3</f>
        <v>0.56204379562043794</v>
      </c>
      <c r="BV214">
        <v>143</v>
      </c>
      <c r="BW214" s="6">
        <f>BV214/BV238</f>
        <v>0.46885245901639344</v>
      </c>
      <c r="BX214" s="6">
        <f>143/$BX$3</f>
        <v>0.46885245901639344</v>
      </c>
      <c r="BZ214">
        <v>135</v>
      </c>
      <c r="CA214" s="6">
        <f>BZ214/BZ238</f>
        <v>0.6026785714285714</v>
      </c>
      <c r="CB214" s="9">
        <f>135/$CB$3</f>
        <v>0.6026785714285714</v>
      </c>
      <c r="CC214" s="7"/>
      <c r="CD214">
        <v>126</v>
      </c>
      <c r="CE214" s="6">
        <f>CD214/CD238</f>
        <v>0.52282157676348551</v>
      </c>
      <c r="CF214" s="6">
        <f>126/$CF$3</f>
        <v>0.52282157676348551</v>
      </c>
      <c r="CH214">
        <v>156</v>
      </c>
      <c r="CI214" s="6">
        <f>CH214/CH238</f>
        <v>0.47272727272727272</v>
      </c>
      <c r="CJ214" s="6">
        <f>156/$CJ$3</f>
        <v>0.47272727272727272</v>
      </c>
    </row>
    <row r="215" spans="1:88" x14ac:dyDescent="0.35">
      <c r="A215" s="1" t="s">
        <v>543</v>
      </c>
      <c r="B215">
        <v>422</v>
      </c>
      <c r="C215" s="6">
        <f>B215/B238</f>
        <v>0.38363636363636361</v>
      </c>
      <c r="D215" s="6">
        <f>422/$D$3</f>
        <v>0.38363636363636361</v>
      </c>
      <c r="F215">
        <v>354</v>
      </c>
      <c r="G215" s="6">
        <f>F215/F238</f>
        <v>0.38858397365532382</v>
      </c>
      <c r="H215" s="6">
        <f>354/$H$3</f>
        <v>0.38858397365532382</v>
      </c>
      <c r="J215">
        <v>166</v>
      </c>
      <c r="K215" s="6">
        <f>J215/J238</f>
        <v>0.38248847926267282</v>
      </c>
      <c r="L215" s="6">
        <f>166/$L$3</f>
        <v>0.38248847926267282</v>
      </c>
      <c r="N215">
        <v>31</v>
      </c>
      <c r="O215" s="6">
        <f>N215/N238</f>
        <v>0.38271604938271603</v>
      </c>
      <c r="P215" s="6">
        <f>31/$P$3</f>
        <v>0.38271604938271603</v>
      </c>
      <c r="R215">
        <v>204</v>
      </c>
      <c r="S215" s="6">
        <f>R215/R238</f>
        <v>0.36428571428571427</v>
      </c>
      <c r="T215" s="6">
        <f>204/$T$3</f>
        <v>0.36428571428571427</v>
      </c>
      <c r="V215">
        <v>218</v>
      </c>
      <c r="W215" s="6">
        <f>V215/V238</f>
        <v>0.40370370370370373</v>
      </c>
      <c r="X215" s="6">
        <f>218/$X$3</f>
        <v>0.40370370370370373</v>
      </c>
      <c r="Z215">
        <v>40</v>
      </c>
      <c r="AA215" s="6">
        <f>Z215/Z238</f>
        <v>0.35398230088495575</v>
      </c>
      <c r="AB215" s="6">
        <f>40/$AB$3</f>
        <v>0.35398230088495575</v>
      </c>
      <c r="AD215">
        <v>72</v>
      </c>
      <c r="AE215" s="6">
        <f>AD215/AD238</f>
        <v>0.36363636363636365</v>
      </c>
      <c r="AF215" s="6">
        <f>72/$AF$3</f>
        <v>0.36363636363636365</v>
      </c>
      <c r="AH215">
        <v>90</v>
      </c>
      <c r="AI215" s="6">
        <f>AH215/AH238</f>
        <v>0.36437246963562753</v>
      </c>
      <c r="AJ215" s="6">
        <f>90/$AJ$3</f>
        <v>0.36437246963562753</v>
      </c>
      <c r="AL215">
        <v>86</v>
      </c>
      <c r="AM215" s="6">
        <f>AL215/AL238</f>
        <v>0.37068965517241381</v>
      </c>
      <c r="AN215" s="6">
        <f>86/$AN$3</f>
        <v>0.37068965517241381</v>
      </c>
      <c r="AP215">
        <v>78</v>
      </c>
      <c r="AQ215" s="6">
        <f>AP215/AP238</f>
        <v>0.41935483870967744</v>
      </c>
      <c r="AR215" s="6">
        <f>78/$AR$3</f>
        <v>0.41935483870967744</v>
      </c>
      <c r="AT215">
        <v>56</v>
      </c>
      <c r="AU215" s="6">
        <f>AT215/AT238</f>
        <v>0.45161290322580644</v>
      </c>
      <c r="AV215" s="6">
        <f>56/$AV$3</f>
        <v>0.45161290322580644</v>
      </c>
      <c r="AX215">
        <v>170</v>
      </c>
      <c r="AY215" s="6">
        <f>AX215/AX238</f>
        <v>0.39534883720930231</v>
      </c>
      <c r="AZ215" s="6">
        <f>170/$AZ$3</f>
        <v>0.39534883720930231</v>
      </c>
      <c r="BB215">
        <v>159</v>
      </c>
      <c r="BC215" s="6">
        <f>BB215/BB238</f>
        <v>0.37149532710280375</v>
      </c>
      <c r="BD215" s="6">
        <f>159/$BD$3</f>
        <v>0.37149532710280375</v>
      </c>
      <c r="BF215">
        <v>93</v>
      </c>
      <c r="BG215" s="6">
        <f>BF215/BF238</f>
        <v>0.38429752066115702</v>
      </c>
      <c r="BH215" s="6">
        <f>93/$BH$3</f>
        <v>0.38429752066115702</v>
      </c>
      <c r="BJ215">
        <v>149</v>
      </c>
      <c r="BK215" s="6">
        <f>BJ215/BJ238</f>
        <v>0.36972704714640198</v>
      </c>
      <c r="BL215" s="6">
        <f>149/$BL$3</f>
        <v>0.36972704714640198</v>
      </c>
      <c r="BN215">
        <v>164</v>
      </c>
      <c r="BO215" s="6">
        <f>BN215/BN238</f>
        <v>0.38770685579196218</v>
      </c>
      <c r="BP215" s="6">
        <f>164/$BP$3</f>
        <v>0.38770685579196218</v>
      </c>
      <c r="BR215">
        <v>109</v>
      </c>
      <c r="BS215" s="6">
        <f>BR215/BR238</f>
        <v>0.3978102189781022</v>
      </c>
      <c r="BT215" s="6">
        <f>109/$BT$3</f>
        <v>0.3978102189781022</v>
      </c>
      <c r="BV215">
        <v>119</v>
      </c>
      <c r="BW215" s="6">
        <f>BV215/BV238</f>
        <v>0.39016393442622949</v>
      </c>
      <c r="BX215" s="6">
        <f>119/$BX$3</f>
        <v>0.39016393442622949</v>
      </c>
      <c r="BZ215">
        <v>90</v>
      </c>
      <c r="CA215" s="6">
        <f>BZ215/BZ238</f>
        <v>0.4017857142857143</v>
      </c>
      <c r="CB215" s="6">
        <f>90/$CB$3</f>
        <v>0.4017857142857143</v>
      </c>
      <c r="CD215">
        <v>86</v>
      </c>
      <c r="CE215" s="6">
        <f>CD215/CD238</f>
        <v>0.35684647302904565</v>
      </c>
      <c r="CF215" s="6">
        <f>86/$CF$3</f>
        <v>0.35684647302904565</v>
      </c>
      <c r="CH215">
        <v>127</v>
      </c>
      <c r="CI215" s="6">
        <f>CH215/CH238</f>
        <v>0.38484848484848483</v>
      </c>
      <c r="CJ215" s="6">
        <f>127/$CJ$3</f>
        <v>0.38484848484848483</v>
      </c>
    </row>
    <row r="216" spans="1:88" x14ac:dyDescent="0.35">
      <c r="A216" s="1" t="s">
        <v>544</v>
      </c>
      <c r="B216">
        <v>247</v>
      </c>
      <c r="C216" s="6">
        <f>B216/B238</f>
        <v>0.22454545454545455</v>
      </c>
      <c r="D216" s="6">
        <f>247/$D$3</f>
        <v>0.22454545454545455</v>
      </c>
      <c r="F216">
        <v>214</v>
      </c>
      <c r="G216" s="6">
        <f>F216/F238</f>
        <v>0.23490669593852909</v>
      </c>
      <c r="H216" s="6">
        <f>214/$H$3</f>
        <v>0.23490669593852909</v>
      </c>
      <c r="J216">
        <v>109</v>
      </c>
      <c r="K216" s="6">
        <f>J216/J238</f>
        <v>0.25115207373271892</v>
      </c>
      <c r="L216" s="6">
        <f>109/$L$3</f>
        <v>0.25115207373271892</v>
      </c>
      <c r="N216">
        <v>17</v>
      </c>
      <c r="O216" s="6">
        <f>N216/N238</f>
        <v>0.20987654320987653</v>
      </c>
      <c r="P216" s="6">
        <f>17/$P$3</f>
        <v>0.20987654320987653</v>
      </c>
      <c r="R216">
        <v>134</v>
      </c>
      <c r="S216" s="6">
        <f>R216/R238</f>
        <v>0.2392857142857143</v>
      </c>
      <c r="T216" s="6">
        <f>134/$T$3</f>
        <v>0.2392857142857143</v>
      </c>
      <c r="V216">
        <v>113</v>
      </c>
      <c r="W216" s="6">
        <f>V216/V238</f>
        <v>0.20925925925925926</v>
      </c>
      <c r="X216" s="6">
        <f>113/$X$3</f>
        <v>0.20925925925925926</v>
      </c>
      <c r="Z216">
        <v>14</v>
      </c>
      <c r="AA216" s="6">
        <f>Z216/Z238</f>
        <v>0.12389380530973451</v>
      </c>
      <c r="AB216" s="8">
        <f>14/$AB$3</f>
        <v>0.12389380530973451</v>
      </c>
      <c r="AD216">
        <v>63</v>
      </c>
      <c r="AE216" s="6">
        <f>AD216/AD238</f>
        <v>0.31818181818181818</v>
      </c>
      <c r="AF216" s="9">
        <f>63/$AF$3</f>
        <v>0.31818181818181818</v>
      </c>
      <c r="AG216" s="7"/>
      <c r="AH216">
        <v>80</v>
      </c>
      <c r="AI216" s="6">
        <f>AH216/AH238</f>
        <v>0.32388663967611336</v>
      </c>
      <c r="AJ216" s="9">
        <f>80/$AJ$3</f>
        <v>0.32388663967611336</v>
      </c>
      <c r="AK216" s="7"/>
      <c r="AL216">
        <v>42</v>
      </c>
      <c r="AM216" s="6">
        <f>AL216/AL238</f>
        <v>0.18103448275862069</v>
      </c>
      <c r="AN216" s="6">
        <f>42/$AN$3</f>
        <v>0.18103448275862069</v>
      </c>
      <c r="AP216">
        <v>25</v>
      </c>
      <c r="AQ216" s="6">
        <f>AP216/AP238</f>
        <v>0.13440860215053763</v>
      </c>
      <c r="AR216" s="8">
        <f>25/$AR$3</f>
        <v>0.13440860215053763</v>
      </c>
      <c r="AT216">
        <v>23</v>
      </c>
      <c r="AU216" s="6">
        <f>AT216/AT238</f>
        <v>0.18548387096774194</v>
      </c>
      <c r="AV216" s="6">
        <f>23/$AV$3</f>
        <v>0.18548387096774194</v>
      </c>
      <c r="AX216">
        <v>87</v>
      </c>
      <c r="AY216" s="6">
        <f>AX216/AX238</f>
        <v>0.20232558139534884</v>
      </c>
      <c r="AZ216" s="6">
        <f>87/$AZ$3</f>
        <v>0.20232558139534884</v>
      </c>
      <c r="BB216">
        <v>103</v>
      </c>
      <c r="BC216" s="6">
        <f>BB216/BB238</f>
        <v>0.24065420560747663</v>
      </c>
      <c r="BD216" s="6">
        <f>103/$BD$3</f>
        <v>0.24065420560747663</v>
      </c>
      <c r="BF216">
        <v>57</v>
      </c>
      <c r="BG216" s="6">
        <f>BF216/BF238</f>
        <v>0.23553719008264462</v>
      </c>
      <c r="BH216" s="6">
        <f>57/$BH$3</f>
        <v>0.23553719008264462</v>
      </c>
      <c r="BJ216">
        <v>114</v>
      </c>
      <c r="BK216" s="6">
        <f>BJ216/BJ238</f>
        <v>0.28287841191066998</v>
      </c>
      <c r="BL216" s="9">
        <f>114/$BL$3</f>
        <v>0.28287841191066998</v>
      </c>
      <c r="BM216" s="7" t="s">
        <v>410</v>
      </c>
      <c r="BN216">
        <v>81</v>
      </c>
      <c r="BO216" s="6">
        <f>BN216/BN238</f>
        <v>0.19148936170212766</v>
      </c>
      <c r="BP216" s="6">
        <f>81/$BP$3</f>
        <v>0.19148936170212766</v>
      </c>
      <c r="BR216">
        <v>52</v>
      </c>
      <c r="BS216" s="6">
        <f>BR216/BR238</f>
        <v>0.18978102189781021</v>
      </c>
      <c r="BT216" s="6">
        <f>52/$BT$3</f>
        <v>0.18978102189781021</v>
      </c>
      <c r="BV216">
        <v>75</v>
      </c>
      <c r="BW216" s="6">
        <f>BV216/BV238</f>
        <v>0.24590163934426229</v>
      </c>
      <c r="BX216" s="6">
        <f>75/$BX$3</f>
        <v>0.24590163934426229</v>
      </c>
      <c r="BZ216">
        <v>58</v>
      </c>
      <c r="CA216" s="6">
        <f>BZ216/BZ238</f>
        <v>0.25892857142857145</v>
      </c>
      <c r="CB216" s="6">
        <f>58/$CB$3</f>
        <v>0.25892857142857145</v>
      </c>
      <c r="CD216">
        <v>53</v>
      </c>
      <c r="CE216" s="6">
        <f>CD216/CD238</f>
        <v>0.21991701244813278</v>
      </c>
      <c r="CF216" s="6">
        <f>53/$CF$3</f>
        <v>0.21991701244813278</v>
      </c>
      <c r="CH216">
        <v>61</v>
      </c>
      <c r="CI216" s="6">
        <f>CH216/CH238</f>
        <v>0.18484848484848485</v>
      </c>
      <c r="CJ216" s="6">
        <f>61/$CJ$3</f>
        <v>0.18484848484848485</v>
      </c>
    </row>
    <row r="217" spans="1:88" x14ac:dyDescent="0.35">
      <c r="A217" s="1" t="s">
        <v>545</v>
      </c>
      <c r="B217">
        <v>190</v>
      </c>
      <c r="C217" s="6">
        <f>B217/B238</f>
        <v>0.17272727272727273</v>
      </c>
      <c r="D217" s="6">
        <f>190/$D$3</f>
        <v>0.17272727272727273</v>
      </c>
      <c r="F217">
        <v>161</v>
      </c>
      <c r="G217" s="6">
        <f>F217/F238</f>
        <v>0.17672886937431395</v>
      </c>
      <c r="H217" s="6">
        <f>161/$H$3</f>
        <v>0.17672886937431395</v>
      </c>
      <c r="J217">
        <v>87</v>
      </c>
      <c r="K217" s="6">
        <f>J217/J238</f>
        <v>0.20046082949308755</v>
      </c>
      <c r="L217" s="6">
        <f>87/$L$3</f>
        <v>0.20046082949308755</v>
      </c>
      <c r="N217">
        <v>19</v>
      </c>
      <c r="O217" s="6">
        <f>N217/N238</f>
        <v>0.23456790123456789</v>
      </c>
      <c r="P217" s="6">
        <f>19/$P$3</f>
        <v>0.23456790123456789</v>
      </c>
      <c r="R217">
        <v>121</v>
      </c>
      <c r="S217" s="6">
        <f>R217/R238</f>
        <v>0.21607142857142858</v>
      </c>
      <c r="T217" s="6">
        <f>121/$T$3</f>
        <v>0.21607142857142858</v>
      </c>
      <c r="V217">
        <v>69</v>
      </c>
      <c r="W217" s="6">
        <f>V217/V238</f>
        <v>0.12777777777777777</v>
      </c>
      <c r="X217" s="6">
        <f>69/$X$3</f>
        <v>0.12777777777777777</v>
      </c>
      <c r="Z217">
        <v>20</v>
      </c>
      <c r="AA217" s="6">
        <f>Z217/Z238</f>
        <v>0.17699115044247787</v>
      </c>
      <c r="AB217" s="6">
        <f>20/$AB$3</f>
        <v>0.17699115044247787</v>
      </c>
      <c r="AD217">
        <v>27</v>
      </c>
      <c r="AE217" s="6">
        <f>AD217/AD238</f>
        <v>0.13636363636363635</v>
      </c>
      <c r="AF217" s="6">
        <f>27/$AF$3</f>
        <v>0.13636363636363635</v>
      </c>
      <c r="AH217">
        <v>40</v>
      </c>
      <c r="AI217" s="6">
        <f>AH217/AH238</f>
        <v>0.16194331983805668</v>
      </c>
      <c r="AJ217" s="6">
        <f>40/$AJ$3</f>
        <v>0.16194331983805668</v>
      </c>
      <c r="AL217">
        <v>45</v>
      </c>
      <c r="AM217" s="6">
        <f>AL217/AL238</f>
        <v>0.19396551724137931</v>
      </c>
      <c r="AN217" s="6">
        <f>45/$AN$3</f>
        <v>0.19396551724137931</v>
      </c>
      <c r="AP217">
        <v>32</v>
      </c>
      <c r="AQ217" s="6">
        <f>AP217/AP238</f>
        <v>0.17204301075268819</v>
      </c>
      <c r="AR217" s="6">
        <f>32/$AR$3</f>
        <v>0.17204301075268819</v>
      </c>
      <c r="AT217">
        <v>26</v>
      </c>
      <c r="AU217" s="6">
        <f>AT217/AT238</f>
        <v>0.20967741935483872</v>
      </c>
      <c r="AV217" s="6">
        <f>26/$AV$3</f>
        <v>0.20967741935483872</v>
      </c>
      <c r="AX217">
        <v>76</v>
      </c>
      <c r="AY217" s="6">
        <f>AX217/AX238</f>
        <v>0.17674418604651163</v>
      </c>
      <c r="AZ217" s="6">
        <f>76/$AZ$3</f>
        <v>0.17674418604651163</v>
      </c>
      <c r="BB217">
        <v>76</v>
      </c>
      <c r="BC217" s="6">
        <f>BB217/BB238</f>
        <v>0.17757009345794392</v>
      </c>
      <c r="BD217" s="6">
        <f>76/$BD$3</f>
        <v>0.17757009345794392</v>
      </c>
      <c r="BF217">
        <v>38</v>
      </c>
      <c r="BG217" s="6">
        <f>BF217/BF238</f>
        <v>0.15702479338842976</v>
      </c>
      <c r="BH217" s="6">
        <f>38/$BH$3</f>
        <v>0.15702479338842976</v>
      </c>
      <c r="BJ217">
        <v>65</v>
      </c>
      <c r="BK217" s="6">
        <f>BJ217/BJ238</f>
        <v>0.16129032258064516</v>
      </c>
      <c r="BL217" s="6">
        <f>65/$BL$3</f>
        <v>0.16129032258064516</v>
      </c>
      <c r="BN217">
        <v>79</v>
      </c>
      <c r="BO217" s="6">
        <f>BN217/BN238</f>
        <v>0.1867612293144208</v>
      </c>
      <c r="BP217" s="6">
        <f>79/$BP$3</f>
        <v>0.1867612293144208</v>
      </c>
      <c r="BR217">
        <v>46</v>
      </c>
      <c r="BS217" s="6">
        <f>BR217/BR238</f>
        <v>0.16788321167883211</v>
      </c>
      <c r="BT217" s="6">
        <f>46/$BT$3</f>
        <v>0.16788321167883211</v>
      </c>
      <c r="BV217">
        <v>48</v>
      </c>
      <c r="BW217" s="6">
        <f>BV217/BV238</f>
        <v>0.15737704918032788</v>
      </c>
      <c r="BX217" s="6">
        <f>48/$BX$3</f>
        <v>0.15737704918032788</v>
      </c>
      <c r="BZ217">
        <v>45</v>
      </c>
      <c r="CA217" s="6">
        <f>BZ217/BZ238</f>
        <v>0.20089285714285715</v>
      </c>
      <c r="CB217" s="6">
        <f>45/$CB$3</f>
        <v>0.20089285714285715</v>
      </c>
      <c r="CD217">
        <v>40</v>
      </c>
      <c r="CE217" s="6">
        <f>CD217/CD238</f>
        <v>0.16597510373443983</v>
      </c>
      <c r="CF217" s="6">
        <f>40/$CF$3</f>
        <v>0.16597510373443983</v>
      </c>
      <c r="CH217">
        <v>57</v>
      </c>
      <c r="CI217" s="6">
        <f>CH217/CH238</f>
        <v>0.17272727272727273</v>
      </c>
      <c r="CJ217" s="6">
        <f>57/$CJ$3</f>
        <v>0.17272727272727273</v>
      </c>
    </row>
    <row r="219" spans="1:88" x14ac:dyDescent="0.35">
      <c r="A219" s="1" t="s">
        <v>546</v>
      </c>
      <c r="B219">
        <v>38</v>
      </c>
      <c r="C219" s="6">
        <f>B219/B238</f>
        <v>3.4545454545454546E-2</v>
      </c>
      <c r="D219" s="6">
        <f>38/$D$3</f>
        <v>3.4545454545454546E-2</v>
      </c>
      <c r="F219">
        <v>34</v>
      </c>
      <c r="G219" s="6">
        <f>F219/F238</f>
        <v>3.7321624588364431E-2</v>
      </c>
      <c r="H219" s="6">
        <f>34/$H$3</f>
        <v>3.7321624588364431E-2</v>
      </c>
      <c r="J219">
        <v>20</v>
      </c>
      <c r="K219" s="6">
        <f>J219/J238</f>
        <v>4.6082949308755762E-2</v>
      </c>
      <c r="L219" s="6">
        <f>20/$L$3</f>
        <v>4.6082949308755762E-2</v>
      </c>
      <c r="N219">
        <v>0</v>
      </c>
      <c r="O219" s="6">
        <f>N219/N238</f>
        <v>0</v>
      </c>
      <c r="P219" s="6">
        <f>0/$P$3</f>
        <v>0</v>
      </c>
      <c r="R219">
        <v>23</v>
      </c>
      <c r="S219" s="6">
        <f>R219/R238</f>
        <v>4.1071428571428571E-2</v>
      </c>
      <c r="T219" s="6">
        <f>23/$T$3</f>
        <v>4.1071428571428571E-2</v>
      </c>
      <c r="V219">
        <v>15</v>
      </c>
      <c r="W219" s="6">
        <f>V219/V238</f>
        <v>2.7777777777777776E-2</v>
      </c>
      <c r="X219" s="6">
        <f>15/$X$3</f>
        <v>2.7777777777777776E-2</v>
      </c>
      <c r="Z219">
        <v>3</v>
      </c>
      <c r="AA219" s="6">
        <f>Z219/Z238</f>
        <v>2.6548672566371681E-2</v>
      </c>
      <c r="AB219" s="6">
        <f>3/$AB$3</f>
        <v>2.6548672566371681E-2</v>
      </c>
      <c r="AD219">
        <v>6</v>
      </c>
      <c r="AE219" s="6">
        <f>AD219/AD238</f>
        <v>3.0303030303030304E-2</v>
      </c>
      <c r="AF219" s="6">
        <f>6/$AF$3</f>
        <v>3.0303030303030304E-2</v>
      </c>
      <c r="AH219">
        <v>12</v>
      </c>
      <c r="AI219" s="6">
        <f>AH219/AH238</f>
        <v>4.8582995951417005E-2</v>
      </c>
      <c r="AJ219" s="6">
        <f>12/$AJ$3</f>
        <v>4.8582995951417005E-2</v>
      </c>
      <c r="AL219">
        <v>5</v>
      </c>
      <c r="AM219" s="6">
        <f>AL219/AL238</f>
        <v>2.1551724137931036E-2</v>
      </c>
      <c r="AN219" s="6">
        <f>5/$AN$3</f>
        <v>2.1551724137931036E-2</v>
      </c>
      <c r="AP219">
        <v>4</v>
      </c>
      <c r="AQ219" s="6">
        <f>AP219/AP238</f>
        <v>2.1505376344086023E-2</v>
      </c>
      <c r="AR219" s="6">
        <f>4/$AR$3</f>
        <v>2.1505376344086023E-2</v>
      </c>
      <c r="AT219">
        <v>8</v>
      </c>
      <c r="AU219" s="6">
        <f>AT219/AT238</f>
        <v>6.4516129032258063E-2</v>
      </c>
      <c r="AV219" s="6">
        <f>8/$AV$3</f>
        <v>6.4516129032258063E-2</v>
      </c>
      <c r="AX219">
        <v>14</v>
      </c>
      <c r="AY219" s="6">
        <f>AX219/AX238</f>
        <v>3.255813953488372E-2</v>
      </c>
      <c r="AZ219" s="6">
        <f>14/$AZ$3</f>
        <v>3.255813953488372E-2</v>
      </c>
      <c r="BB219">
        <v>13</v>
      </c>
      <c r="BC219" s="6">
        <f>BB219/BB238</f>
        <v>3.0373831775700934E-2</v>
      </c>
      <c r="BD219" s="6">
        <f>13/$BD$3</f>
        <v>3.0373831775700934E-2</v>
      </c>
      <c r="BF219">
        <v>11</v>
      </c>
      <c r="BG219" s="6">
        <f>BF219/BF238</f>
        <v>4.5454545454545456E-2</v>
      </c>
      <c r="BH219" s="6">
        <f>11/$BH$3</f>
        <v>4.5454545454545456E-2</v>
      </c>
      <c r="BJ219">
        <v>12</v>
      </c>
      <c r="BK219" s="6">
        <f>BJ219/BJ238</f>
        <v>2.9776674937965261E-2</v>
      </c>
      <c r="BL219" s="6">
        <f>12/$BL$3</f>
        <v>2.9776674937965261E-2</v>
      </c>
      <c r="BN219">
        <v>13</v>
      </c>
      <c r="BO219" s="6">
        <f>BN219/BN238</f>
        <v>3.0732860520094562E-2</v>
      </c>
      <c r="BP219" s="6">
        <f>13/$BP$3</f>
        <v>3.0732860520094562E-2</v>
      </c>
      <c r="BR219">
        <v>13</v>
      </c>
      <c r="BS219" s="6">
        <f>BR219/BR238</f>
        <v>4.7445255474452552E-2</v>
      </c>
      <c r="BT219" s="6">
        <f>13/$BT$3</f>
        <v>4.7445255474452552E-2</v>
      </c>
      <c r="BV219">
        <v>12</v>
      </c>
      <c r="BW219" s="6">
        <f>BV219/BV238</f>
        <v>3.9344262295081971E-2</v>
      </c>
      <c r="BX219" s="6">
        <f>12/$BX$3</f>
        <v>3.9344262295081971E-2</v>
      </c>
      <c r="BZ219">
        <v>6</v>
      </c>
      <c r="CA219" s="6">
        <f>BZ219/BZ238</f>
        <v>2.6785714285714284E-2</v>
      </c>
      <c r="CB219" s="6">
        <f>6/$CB$3</f>
        <v>2.6785714285714284E-2</v>
      </c>
      <c r="CD219">
        <v>7</v>
      </c>
      <c r="CE219" s="6">
        <f>CD219/CD238</f>
        <v>2.9045643153526972E-2</v>
      </c>
      <c r="CF219" s="6">
        <f>7/$CF$3</f>
        <v>2.9045643153526972E-2</v>
      </c>
      <c r="CH219">
        <v>13</v>
      </c>
      <c r="CI219" s="6">
        <f>CH219/CH238</f>
        <v>3.9393939393939391E-2</v>
      </c>
      <c r="CJ219" s="6">
        <f>13/$CJ$3</f>
        <v>3.9393939393939391E-2</v>
      </c>
    </row>
    <row r="220" spans="1:88" x14ac:dyDescent="0.35">
      <c r="A220" s="1" t="s">
        <v>547</v>
      </c>
      <c r="B220">
        <v>168</v>
      </c>
      <c r="C220" s="6">
        <f>B220/B238</f>
        <v>0.15272727272727274</v>
      </c>
      <c r="D220" s="6">
        <f>168/$D$3</f>
        <v>0.15272727272727274</v>
      </c>
      <c r="F220">
        <v>136</v>
      </c>
      <c r="G220" s="6">
        <f>F220/F238</f>
        <v>0.14928649835345773</v>
      </c>
      <c r="H220" s="6">
        <f>136/$H$3</f>
        <v>0.14928649835345773</v>
      </c>
      <c r="J220">
        <v>61</v>
      </c>
      <c r="K220" s="6">
        <f>J220/J238</f>
        <v>0.14055299539170507</v>
      </c>
      <c r="L220" s="6">
        <f>61/$L$3</f>
        <v>0.14055299539170507</v>
      </c>
      <c r="N220">
        <v>14</v>
      </c>
      <c r="O220" s="6">
        <f>N220/N238</f>
        <v>0.1728395061728395</v>
      </c>
      <c r="P220" s="6">
        <f>14/$P$3</f>
        <v>0.1728395061728395</v>
      </c>
      <c r="R220">
        <v>78</v>
      </c>
      <c r="S220" s="6">
        <f>R220/R238</f>
        <v>0.13928571428571429</v>
      </c>
      <c r="T220" s="6">
        <f>78/$T$3</f>
        <v>0.13928571428571429</v>
      </c>
      <c r="V220">
        <v>90</v>
      </c>
      <c r="W220" s="6">
        <f>V220/V238</f>
        <v>0.16666666666666666</v>
      </c>
      <c r="X220" s="6">
        <f>90/$X$3</f>
        <v>0.16666666666666666</v>
      </c>
      <c r="Z220">
        <v>13</v>
      </c>
      <c r="AA220" s="6">
        <f>Z220/Z238</f>
        <v>0.11504424778761062</v>
      </c>
      <c r="AB220" s="6">
        <f>13/$AB$3</f>
        <v>0.11504424778761062</v>
      </c>
      <c r="AD220">
        <v>27</v>
      </c>
      <c r="AE220" s="6">
        <f>AD220/AD238</f>
        <v>0.13636363636363635</v>
      </c>
      <c r="AF220" s="6">
        <f>27/$AF$3</f>
        <v>0.13636363636363635</v>
      </c>
      <c r="AH220">
        <v>31</v>
      </c>
      <c r="AI220" s="6">
        <f>AH220/AH238</f>
        <v>0.12550607287449392</v>
      </c>
      <c r="AJ220" s="6">
        <f>31/$AJ$3</f>
        <v>0.12550607287449392</v>
      </c>
      <c r="AL220">
        <v>35</v>
      </c>
      <c r="AM220" s="6">
        <f>AL220/AL238</f>
        <v>0.15086206896551724</v>
      </c>
      <c r="AN220" s="6">
        <f>35/$AN$3</f>
        <v>0.15086206896551724</v>
      </c>
      <c r="AP220">
        <v>32</v>
      </c>
      <c r="AQ220" s="6">
        <f>AP220/AP238</f>
        <v>0.17204301075268819</v>
      </c>
      <c r="AR220" s="6">
        <f>32/$AR$3</f>
        <v>0.17204301075268819</v>
      </c>
      <c r="AT220">
        <v>30</v>
      </c>
      <c r="AU220" s="6">
        <f>AT220/AT238</f>
        <v>0.24193548387096775</v>
      </c>
      <c r="AV220" s="9">
        <f>30/$AV$3</f>
        <v>0.24193548387096775</v>
      </c>
      <c r="AX220">
        <v>65</v>
      </c>
      <c r="AY220" s="6">
        <f>AX220/AX238</f>
        <v>0.15116279069767441</v>
      </c>
      <c r="AZ220" s="6">
        <f>65/$AZ$3</f>
        <v>0.15116279069767441</v>
      </c>
      <c r="BB220">
        <v>68</v>
      </c>
      <c r="BC220" s="6">
        <f>BB220/BB238</f>
        <v>0.15887850467289719</v>
      </c>
      <c r="BD220" s="6">
        <f>68/$BD$3</f>
        <v>0.15887850467289719</v>
      </c>
      <c r="BF220">
        <v>35</v>
      </c>
      <c r="BG220" s="6">
        <f>BF220/BF238</f>
        <v>0.14462809917355371</v>
      </c>
      <c r="BH220" s="6">
        <f>35/$BH$3</f>
        <v>0.14462809917355371</v>
      </c>
      <c r="BJ220">
        <v>59</v>
      </c>
      <c r="BK220" s="6">
        <f>BJ220/BJ238</f>
        <v>0.14640198511166252</v>
      </c>
      <c r="BL220" s="6">
        <f>59/$BL$3</f>
        <v>0.14640198511166252</v>
      </c>
      <c r="BN220">
        <v>77</v>
      </c>
      <c r="BO220" s="6">
        <f>BN220/BN238</f>
        <v>0.18203309692671396</v>
      </c>
      <c r="BP220" s="6">
        <f>77/$BP$3</f>
        <v>0.18203309692671396</v>
      </c>
      <c r="BR220">
        <v>32</v>
      </c>
      <c r="BS220" s="6">
        <f>BR220/BR238</f>
        <v>0.11678832116788321</v>
      </c>
      <c r="BT220" s="6">
        <f>32/$BT$3</f>
        <v>0.11678832116788321</v>
      </c>
      <c r="BV220">
        <v>46</v>
      </c>
      <c r="BW220" s="6">
        <f>BV220/BV238</f>
        <v>0.15081967213114755</v>
      </c>
      <c r="BX220" s="6">
        <f>46/$BX$3</f>
        <v>0.15081967213114755</v>
      </c>
      <c r="BZ220">
        <v>24</v>
      </c>
      <c r="CA220" s="6">
        <f>BZ220/BZ238</f>
        <v>0.10714285714285714</v>
      </c>
      <c r="CB220" s="6">
        <f>24/$CB$3</f>
        <v>0.10714285714285714</v>
      </c>
      <c r="CD220">
        <v>36</v>
      </c>
      <c r="CE220" s="6">
        <f>CD220/CD238</f>
        <v>0.14937759336099585</v>
      </c>
      <c r="CF220" s="6">
        <f>36/$CF$3</f>
        <v>0.14937759336099585</v>
      </c>
      <c r="CH220">
        <v>62</v>
      </c>
      <c r="CI220" s="6">
        <f>CH220/CH238</f>
        <v>0.18787878787878787</v>
      </c>
      <c r="CJ220" s="6">
        <f>62/$CJ$3</f>
        <v>0.18787878787878787</v>
      </c>
    </row>
    <row r="221" spans="1:88" x14ac:dyDescent="0.35">
      <c r="A221" s="1" t="s">
        <v>548</v>
      </c>
      <c r="B221">
        <v>184</v>
      </c>
      <c r="C221" s="6">
        <f>B221/B238</f>
        <v>0.16727272727272727</v>
      </c>
      <c r="D221" s="6">
        <f>184/$D$3</f>
        <v>0.16727272727272727</v>
      </c>
      <c r="F221">
        <v>146</v>
      </c>
      <c r="G221" s="6">
        <f>F221/F238</f>
        <v>0.16026344676180021</v>
      </c>
      <c r="H221" s="6">
        <f>146/$H$3</f>
        <v>0.16026344676180021</v>
      </c>
      <c r="J221">
        <v>81</v>
      </c>
      <c r="K221" s="6">
        <f>J221/J238</f>
        <v>0.18663594470046083</v>
      </c>
      <c r="L221" s="6">
        <f>81/$L$3</f>
        <v>0.18663594470046083</v>
      </c>
      <c r="N221">
        <v>17</v>
      </c>
      <c r="O221" s="6">
        <f>N221/N238</f>
        <v>0.20987654320987653</v>
      </c>
      <c r="P221" s="6">
        <f>17/$P$3</f>
        <v>0.20987654320987653</v>
      </c>
      <c r="R221">
        <v>96</v>
      </c>
      <c r="S221" s="6">
        <f>R221/R238</f>
        <v>0.17142857142857143</v>
      </c>
      <c r="T221" s="6">
        <f>96/$T$3</f>
        <v>0.17142857142857143</v>
      </c>
      <c r="V221">
        <v>88</v>
      </c>
      <c r="W221" s="6">
        <f>V221/V238</f>
        <v>0.16296296296296298</v>
      </c>
      <c r="X221" s="6">
        <f>88/$X$3</f>
        <v>0.16296296296296298</v>
      </c>
      <c r="Z221">
        <v>14</v>
      </c>
      <c r="AA221" s="6">
        <f>Z221/Z238</f>
        <v>0.12389380530973451</v>
      </c>
      <c r="AB221" s="6">
        <f>14/$AB$3</f>
        <v>0.12389380530973451</v>
      </c>
      <c r="AD221">
        <v>34</v>
      </c>
      <c r="AE221" s="6">
        <f>AD221/AD238</f>
        <v>0.17171717171717171</v>
      </c>
      <c r="AF221" s="6">
        <f>34/$AF$3</f>
        <v>0.17171717171717171</v>
      </c>
      <c r="AH221">
        <v>39</v>
      </c>
      <c r="AI221" s="6">
        <f>AH221/AH238</f>
        <v>0.15789473684210525</v>
      </c>
      <c r="AJ221" s="6">
        <f>39/$AJ$3</f>
        <v>0.15789473684210525</v>
      </c>
      <c r="AL221">
        <v>38</v>
      </c>
      <c r="AM221" s="6">
        <f>AL221/AL238</f>
        <v>0.16379310344827586</v>
      </c>
      <c r="AN221" s="6">
        <f>38/$AN$3</f>
        <v>0.16379310344827586</v>
      </c>
      <c r="AP221">
        <v>34</v>
      </c>
      <c r="AQ221" s="6">
        <f>AP221/AP238</f>
        <v>0.18279569892473119</v>
      </c>
      <c r="AR221" s="6">
        <f>34/$AR$3</f>
        <v>0.18279569892473119</v>
      </c>
      <c r="AT221">
        <v>25</v>
      </c>
      <c r="AU221" s="6">
        <f>AT221/AT238</f>
        <v>0.20161290322580644</v>
      </c>
      <c r="AV221" s="6">
        <f>25/$AV$3</f>
        <v>0.20161290322580644</v>
      </c>
      <c r="AX221">
        <v>67</v>
      </c>
      <c r="AY221" s="6">
        <f>AX221/AX238</f>
        <v>0.1558139534883721</v>
      </c>
      <c r="AZ221" s="6">
        <f>67/$AZ$3</f>
        <v>0.1558139534883721</v>
      </c>
      <c r="BB221">
        <v>86</v>
      </c>
      <c r="BC221" s="6">
        <f>BB221/BB238</f>
        <v>0.20093457943925233</v>
      </c>
      <c r="BD221" s="6">
        <f>86/$BD$3</f>
        <v>0.20093457943925233</v>
      </c>
      <c r="BF221">
        <v>31</v>
      </c>
      <c r="BG221" s="6">
        <f>BF221/BF238</f>
        <v>0.128099173553719</v>
      </c>
      <c r="BH221" s="6">
        <f>31/$BH$3</f>
        <v>0.128099173553719</v>
      </c>
      <c r="BJ221">
        <v>72</v>
      </c>
      <c r="BK221" s="6">
        <f>BJ221/BJ238</f>
        <v>0.17866004962779156</v>
      </c>
      <c r="BL221" s="6">
        <f>72/$BL$3</f>
        <v>0.17866004962779156</v>
      </c>
      <c r="BN221">
        <v>63</v>
      </c>
      <c r="BO221" s="6">
        <f>BN221/BN238</f>
        <v>0.14893617021276595</v>
      </c>
      <c r="BP221" s="6">
        <f>63/$BP$3</f>
        <v>0.14893617021276595</v>
      </c>
      <c r="BR221">
        <v>49</v>
      </c>
      <c r="BS221" s="6">
        <f>BR221/BR238</f>
        <v>0.17883211678832117</v>
      </c>
      <c r="BT221" s="6">
        <f>49/$BT$3</f>
        <v>0.17883211678832117</v>
      </c>
      <c r="BV221">
        <v>47</v>
      </c>
      <c r="BW221" s="6">
        <f>BV221/BV238</f>
        <v>0.1540983606557377</v>
      </c>
      <c r="BX221" s="6">
        <f>47/$BX$3</f>
        <v>0.1540983606557377</v>
      </c>
      <c r="BZ221">
        <v>34</v>
      </c>
      <c r="CA221" s="6">
        <f>BZ221/BZ238</f>
        <v>0.15178571428571427</v>
      </c>
      <c r="CB221" s="6">
        <f>34/$CB$3</f>
        <v>0.15178571428571427</v>
      </c>
      <c r="CD221">
        <v>48</v>
      </c>
      <c r="CE221" s="6">
        <f>CD221/CD238</f>
        <v>0.19917012448132779</v>
      </c>
      <c r="CF221" s="6">
        <f>48/$CF$3</f>
        <v>0.19917012448132779</v>
      </c>
      <c r="CH221">
        <v>55</v>
      </c>
      <c r="CI221" s="6">
        <f>CH221/CH238</f>
        <v>0.16666666666666666</v>
      </c>
      <c r="CJ221" s="6">
        <f>55/$CJ$3</f>
        <v>0.16666666666666666</v>
      </c>
    </row>
    <row r="222" spans="1:88" x14ac:dyDescent="0.35">
      <c r="A222" s="1" t="s">
        <v>549</v>
      </c>
      <c r="B222">
        <v>44</v>
      </c>
      <c r="C222" s="6">
        <f>B222/B238</f>
        <v>0.04</v>
      </c>
      <c r="D222" s="6">
        <f>44/$D$3</f>
        <v>0.04</v>
      </c>
      <c r="F222">
        <v>35</v>
      </c>
      <c r="G222" s="6">
        <f>F222/F238</f>
        <v>3.8419319429198684E-2</v>
      </c>
      <c r="H222" s="6">
        <f>35/$H$3</f>
        <v>3.8419319429198684E-2</v>
      </c>
      <c r="J222">
        <v>17</v>
      </c>
      <c r="K222" s="6">
        <f>J222/J238</f>
        <v>3.9170506912442393E-2</v>
      </c>
      <c r="L222" s="6">
        <f>17/$L$3</f>
        <v>3.9170506912442393E-2</v>
      </c>
      <c r="N222">
        <v>3</v>
      </c>
      <c r="O222" s="6">
        <f>N222/N238</f>
        <v>3.7037037037037035E-2</v>
      </c>
      <c r="P222" s="6">
        <f>3/$P$3</f>
        <v>3.7037037037037035E-2</v>
      </c>
      <c r="R222">
        <v>18</v>
      </c>
      <c r="S222" s="6">
        <f>R222/R238</f>
        <v>3.214285714285714E-2</v>
      </c>
      <c r="T222" s="6">
        <f>18/$T$3</f>
        <v>3.214285714285714E-2</v>
      </c>
      <c r="V222">
        <v>26</v>
      </c>
      <c r="W222" s="6">
        <f>V222/V238</f>
        <v>4.8148148148148148E-2</v>
      </c>
      <c r="X222" s="6">
        <f>26/$X$3</f>
        <v>4.8148148148148148E-2</v>
      </c>
      <c r="Z222">
        <v>5</v>
      </c>
      <c r="AA222" s="6">
        <f>Z222/Z238</f>
        <v>4.4247787610619468E-2</v>
      </c>
      <c r="AB222" s="6">
        <f>5/$AB$3</f>
        <v>4.4247787610619468E-2</v>
      </c>
      <c r="AD222">
        <v>8</v>
      </c>
      <c r="AE222" s="6">
        <f>AD222/AD238</f>
        <v>4.0404040404040407E-2</v>
      </c>
      <c r="AF222" s="6">
        <f>8/$AF$3</f>
        <v>4.0404040404040407E-2</v>
      </c>
      <c r="AH222">
        <v>13</v>
      </c>
      <c r="AI222" s="6">
        <f>AH222/AH238</f>
        <v>5.2631578947368418E-2</v>
      </c>
      <c r="AJ222" s="6">
        <f>13/$AJ$3</f>
        <v>5.2631578947368418E-2</v>
      </c>
      <c r="AL222">
        <v>7</v>
      </c>
      <c r="AM222" s="6">
        <f>AL222/AL238</f>
        <v>3.017241379310345E-2</v>
      </c>
      <c r="AN222" s="6">
        <f>7/$AN$3</f>
        <v>3.017241379310345E-2</v>
      </c>
      <c r="AP222">
        <v>5</v>
      </c>
      <c r="AQ222" s="6">
        <f>AP222/AP238</f>
        <v>2.6881720430107527E-2</v>
      </c>
      <c r="AR222" s="6">
        <f>5/$AR$3</f>
        <v>2.6881720430107527E-2</v>
      </c>
      <c r="AT222">
        <v>6</v>
      </c>
      <c r="AU222" s="6">
        <f>AT222/AT238</f>
        <v>4.8387096774193547E-2</v>
      </c>
      <c r="AV222" s="6">
        <f>6/$AV$3</f>
        <v>4.8387096774193547E-2</v>
      </c>
      <c r="AX222">
        <v>13</v>
      </c>
      <c r="AY222" s="6">
        <f>AX222/AX238</f>
        <v>3.0232558139534883E-2</v>
      </c>
      <c r="AZ222" s="6">
        <f>13/$AZ$3</f>
        <v>3.0232558139534883E-2</v>
      </c>
      <c r="BB222">
        <v>19</v>
      </c>
      <c r="BC222" s="6">
        <f>BB222/BB238</f>
        <v>4.4392523364485979E-2</v>
      </c>
      <c r="BD222" s="6">
        <f>19/$BD$3</f>
        <v>4.4392523364485979E-2</v>
      </c>
      <c r="BF222">
        <v>12</v>
      </c>
      <c r="BG222" s="6">
        <f>BF222/BF238</f>
        <v>4.9586776859504134E-2</v>
      </c>
      <c r="BH222" s="6">
        <f>12/$BH$3</f>
        <v>4.9586776859504134E-2</v>
      </c>
      <c r="BJ222">
        <v>16</v>
      </c>
      <c r="BK222" s="6">
        <f>BJ222/BJ238</f>
        <v>3.9702233250620347E-2</v>
      </c>
      <c r="BL222" s="6">
        <f>16/$BL$3</f>
        <v>3.9702233250620347E-2</v>
      </c>
      <c r="BN222">
        <v>19</v>
      </c>
      <c r="BO222" s="6">
        <f>BN222/BN238</f>
        <v>4.4917257683215132E-2</v>
      </c>
      <c r="BP222" s="6">
        <f>19/$BP$3</f>
        <v>4.4917257683215132E-2</v>
      </c>
      <c r="BR222">
        <v>9</v>
      </c>
      <c r="BS222" s="6">
        <f>BR222/BR238</f>
        <v>3.2846715328467155E-2</v>
      </c>
      <c r="BT222" s="6">
        <f>9/$BT$3</f>
        <v>3.2846715328467155E-2</v>
      </c>
      <c r="BV222">
        <v>11</v>
      </c>
      <c r="BW222" s="6">
        <f>BV222/BV238</f>
        <v>3.6065573770491806E-2</v>
      </c>
      <c r="BX222" s="6">
        <f>11/$BX$3</f>
        <v>3.6065573770491806E-2</v>
      </c>
      <c r="BZ222">
        <v>12</v>
      </c>
      <c r="CA222" s="6">
        <f>BZ222/BZ238</f>
        <v>5.3571428571428568E-2</v>
      </c>
      <c r="CB222" s="6">
        <f>12/$CB$3</f>
        <v>5.3571428571428568E-2</v>
      </c>
      <c r="CD222">
        <v>9</v>
      </c>
      <c r="CE222" s="6">
        <f>CD222/CD238</f>
        <v>3.7344398340248962E-2</v>
      </c>
      <c r="CF222" s="6">
        <f>9/$CF$3</f>
        <v>3.7344398340248962E-2</v>
      </c>
      <c r="CH222">
        <v>12</v>
      </c>
      <c r="CI222" s="6">
        <f>CH222/CH238</f>
        <v>3.6363636363636362E-2</v>
      </c>
      <c r="CJ222" s="6">
        <f>12/$CJ$3</f>
        <v>3.6363636363636362E-2</v>
      </c>
    </row>
    <row r="223" spans="1:88" x14ac:dyDescent="0.35">
      <c r="A223" s="1" t="s">
        <v>550</v>
      </c>
      <c r="B223">
        <v>103</v>
      </c>
      <c r="C223" s="6">
        <f>B223/B238</f>
        <v>9.3636363636363643E-2</v>
      </c>
      <c r="D223" s="6">
        <f>103/$D$3</f>
        <v>9.3636363636363643E-2</v>
      </c>
      <c r="F223">
        <v>90</v>
      </c>
      <c r="G223" s="6">
        <f>F223/F238</f>
        <v>9.8792535675082324E-2</v>
      </c>
      <c r="H223" s="6">
        <f>90/$H$3</f>
        <v>9.8792535675082324E-2</v>
      </c>
      <c r="J223">
        <v>44</v>
      </c>
      <c r="K223" s="6">
        <f>J223/J238</f>
        <v>0.10138248847926268</v>
      </c>
      <c r="L223" s="6">
        <f>44/$L$3</f>
        <v>0.10138248847926268</v>
      </c>
      <c r="N223">
        <v>12</v>
      </c>
      <c r="O223" s="6">
        <f>N223/N238</f>
        <v>0.14814814814814814</v>
      </c>
      <c r="P223" s="6">
        <f>12/$P$3</f>
        <v>0.14814814814814814</v>
      </c>
      <c r="R223">
        <v>57</v>
      </c>
      <c r="S223" s="6">
        <f>R223/R238</f>
        <v>0.10178571428571428</v>
      </c>
      <c r="T223" s="6">
        <f>57/$T$3</f>
        <v>0.10178571428571428</v>
      </c>
      <c r="V223">
        <v>46</v>
      </c>
      <c r="W223" s="6">
        <f>V223/V238</f>
        <v>8.5185185185185183E-2</v>
      </c>
      <c r="X223" s="6">
        <f>46/$X$3</f>
        <v>8.5185185185185183E-2</v>
      </c>
      <c r="Z223">
        <v>18</v>
      </c>
      <c r="AA223" s="6">
        <f>Z223/Z238</f>
        <v>0.15929203539823009</v>
      </c>
      <c r="AB223" s="9">
        <f>18/$AB$3</f>
        <v>0.15929203539823009</v>
      </c>
      <c r="AD223">
        <v>18</v>
      </c>
      <c r="AE223" s="6">
        <f>AD223/AD238</f>
        <v>9.0909090909090912E-2</v>
      </c>
      <c r="AF223" s="6">
        <f>18/$AF$3</f>
        <v>9.0909090909090912E-2</v>
      </c>
      <c r="AH223">
        <v>26</v>
      </c>
      <c r="AI223" s="6">
        <f>AH223/AH238</f>
        <v>0.10526315789473684</v>
      </c>
      <c r="AJ223" s="6">
        <f>26/$AJ$3</f>
        <v>0.10526315789473684</v>
      </c>
      <c r="AL223">
        <v>20</v>
      </c>
      <c r="AM223" s="6">
        <f>AL223/AL238</f>
        <v>8.6206896551724144E-2</v>
      </c>
      <c r="AN223" s="6">
        <f>20/$AN$3</f>
        <v>8.6206896551724144E-2</v>
      </c>
      <c r="AP223">
        <v>13</v>
      </c>
      <c r="AQ223" s="6">
        <f>AP223/AP238</f>
        <v>6.9892473118279563E-2</v>
      </c>
      <c r="AR223" s="6">
        <f>13/$AR$3</f>
        <v>6.9892473118279563E-2</v>
      </c>
      <c r="AT223">
        <v>8</v>
      </c>
      <c r="AU223" s="6">
        <f>AT223/AT238</f>
        <v>6.4516129032258063E-2</v>
      </c>
      <c r="AV223" s="6">
        <f>8/$AV$3</f>
        <v>6.4516129032258063E-2</v>
      </c>
      <c r="AX223">
        <v>29</v>
      </c>
      <c r="AY223" s="6">
        <f>AX223/AX238</f>
        <v>6.7441860465116285E-2</v>
      </c>
      <c r="AZ223" s="6">
        <f>29/$AZ$3</f>
        <v>6.7441860465116285E-2</v>
      </c>
      <c r="BB223">
        <v>49</v>
      </c>
      <c r="BC223" s="6">
        <f>BB223/BB238</f>
        <v>0.11448598130841121</v>
      </c>
      <c r="BD223" s="6">
        <f>49/$BD$3</f>
        <v>0.11448598130841121</v>
      </c>
      <c r="BF223">
        <v>25</v>
      </c>
      <c r="BG223" s="6">
        <f>BF223/BF238</f>
        <v>0.10330578512396695</v>
      </c>
      <c r="BH223" s="6">
        <f>25/$BH$3</f>
        <v>0.10330578512396695</v>
      </c>
      <c r="BJ223">
        <v>40</v>
      </c>
      <c r="BK223" s="6">
        <f>BJ223/BJ238</f>
        <v>9.9255583126550875E-2</v>
      </c>
      <c r="BL223" s="6">
        <f>40/$BL$3</f>
        <v>9.9255583126550875E-2</v>
      </c>
      <c r="BN223">
        <v>39</v>
      </c>
      <c r="BO223" s="6">
        <f>BN223/BN238</f>
        <v>9.2198581560283682E-2</v>
      </c>
      <c r="BP223" s="6">
        <f>39/$BP$3</f>
        <v>9.2198581560283682E-2</v>
      </c>
      <c r="BR223">
        <v>24</v>
      </c>
      <c r="BS223" s="6">
        <f>BR223/BR238</f>
        <v>8.7591240875912413E-2</v>
      </c>
      <c r="BT223" s="6">
        <f>24/$BT$3</f>
        <v>8.7591240875912413E-2</v>
      </c>
      <c r="BV223">
        <v>27</v>
      </c>
      <c r="BW223" s="6">
        <f>BV223/BV238</f>
        <v>8.8524590163934422E-2</v>
      </c>
      <c r="BX223" s="6">
        <f>27/$BX$3</f>
        <v>8.8524590163934422E-2</v>
      </c>
      <c r="BZ223">
        <v>17</v>
      </c>
      <c r="CA223" s="6">
        <f>BZ223/BZ238</f>
        <v>7.5892857142857137E-2</v>
      </c>
      <c r="CB223" s="6">
        <f>17/$CB$3</f>
        <v>7.5892857142857137E-2</v>
      </c>
      <c r="CD223">
        <v>23</v>
      </c>
      <c r="CE223" s="6">
        <f>CD223/CD238</f>
        <v>9.5435684647302899E-2</v>
      </c>
      <c r="CF223" s="6">
        <f>23/$CF$3</f>
        <v>9.5435684647302899E-2</v>
      </c>
      <c r="CH223">
        <v>36</v>
      </c>
      <c r="CI223" s="6">
        <f>CH223/CH238</f>
        <v>0.10909090909090909</v>
      </c>
      <c r="CJ223" s="6">
        <f>36/$CJ$3</f>
        <v>0.10909090909090909</v>
      </c>
    </row>
    <row r="224" spans="1:88" x14ac:dyDescent="0.35">
      <c r="A224" s="1" t="s">
        <v>551</v>
      </c>
      <c r="B224">
        <v>185</v>
      </c>
      <c r="C224" s="6">
        <f>B224/B238</f>
        <v>0.16818181818181818</v>
      </c>
      <c r="D224" s="6">
        <f>185/$D$3</f>
        <v>0.16818181818181818</v>
      </c>
      <c r="F224">
        <v>157</v>
      </c>
      <c r="G224" s="6">
        <f>F224/F238</f>
        <v>0.17233809001097694</v>
      </c>
      <c r="H224" s="6">
        <f>157/$H$3</f>
        <v>0.17233809001097694</v>
      </c>
      <c r="J224">
        <v>70</v>
      </c>
      <c r="K224" s="6">
        <f>J224/J238</f>
        <v>0.16129032258064516</v>
      </c>
      <c r="L224" s="6">
        <f>70/$L$3</f>
        <v>0.16129032258064516</v>
      </c>
      <c r="N224">
        <v>20</v>
      </c>
      <c r="O224" s="6">
        <f>N224/N238</f>
        <v>0.24691358024691357</v>
      </c>
      <c r="P224" s="9">
        <f>20/$P$3</f>
        <v>0.24691358024691357</v>
      </c>
      <c r="R224">
        <v>90</v>
      </c>
      <c r="S224" s="6">
        <f>R224/R238</f>
        <v>0.16071428571428573</v>
      </c>
      <c r="T224" s="6">
        <f>90/$T$3</f>
        <v>0.16071428571428573</v>
      </c>
      <c r="V224">
        <v>95</v>
      </c>
      <c r="W224" s="6">
        <f>V224/V238</f>
        <v>0.17592592592592593</v>
      </c>
      <c r="X224" s="6">
        <f>95/$X$3</f>
        <v>0.17592592592592593</v>
      </c>
      <c r="Z224">
        <v>16</v>
      </c>
      <c r="AA224" s="6">
        <f>Z224/Z238</f>
        <v>0.1415929203539823</v>
      </c>
      <c r="AB224" s="6">
        <f>16/$AB$3</f>
        <v>0.1415929203539823</v>
      </c>
      <c r="AD224">
        <v>34</v>
      </c>
      <c r="AE224" s="6">
        <f>AD224/AD238</f>
        <v>0.17171717171717171</v>
      </c>
      <c r="AF224" s="6">
        <f>34/$AF$3</f>
        <v>0.17171717171717171</v>
      </c>
      <c r="AH224">
        <v>38</v>
      </c>
      <c r="AI224" s="6">
        <f>AH224/AH238</f>
        <v>0.15384615384615385</v>
      </c>
      <c r="AJ224" s="6">
        <f>38/$AJ$3</f>
        <v>0.15384615384615385</v>
      </c>
      <c r="AL224">
        <v>47</v>
      </c>
      <c r="AM224" s="6">
        <f>AL224/AL238</f>
        <v>0.20258620689655171</v>
      </c>
      <c r="AN224" s="6">
        <f>47/$AN$3</f>
        <v>0.20258620689655171</v>
      </c>
      <c r="AP224">
        <v>28</v>
      </c>
      <c r="AQ224" s="6">
        <f>AP224/AP238</f>
        <v>0.15053763440860216</v>
      </c>
      <c r="AR224" s="6">
        <f>28/$AR$3</f>
        <v>0.15053763440860216</v>
      </c>
      <c r="AT224">
        <v>22</v>
      </c>
      <c r="AU224" s="6">
        <f>AT224/AT238</f>
        <v>0.17741935483870969</v>
      </c>
      <c r="AV224" s="6">
        <f>22/$AV$3</f>
        <v>0.17741935483870969</v>
      </c>
      <c r="AX224">
        <v>66</v>
      </c>
      <c r="AY224" s="6">
        <f>AX224/AX238</f>
        <v>0.15348837209302327</v>
      </c>
      <c r="AZ224" s="6">
        <f>66/$AZ$3</f>
        <v>0.15348837209302327</v>
      </c>
      <c r="BB224">
        <v>79</v>
      </c>
      <c r="BC224" s="6">
        <f>BB224/BB238</f>
        <v>0.18457943925233644</v>
      </c>
      <c r="BD224" s="6">
        <f>79/$BD$3</f>
        <v>0.18457943925233644</v>
      </c>
      <c r="BF224">
        <v>40</v>
      </c>
      <c r="BG224" s="6">
        <f>BF224/BF238</f>
        <v>0.16528925619834711</v>
      </c>
      <c r="BH224" s="6">
        <f>40/$BH$3</f>
        <v>0.16528925619834711</v>
      </c>
      <c r="BJ224">
        <v>80</v>
      </c>
      <c r="BK224" s="6">
        <f>BJ224/BJ238</f>
        <v>0.19851116625310175</v>
      </c>
      <c r="BL224" s="6">
        <f>80/$BL$3</f>
        <v>0.19851116625310175</v>
      </c>
      <c r="BN224">
        <v>70</v>
      </c>
      <c r="BO224" s="6">
        <f>BN224/BN238</f>
        <v>0.16548463356973994</v>
      </c>
      <c r="BP224" s="6">
        <f>70/$BP$3</f>
        <v>0.16548463356973994</v>
      </c>
      <c r="BR224">
        <v>35</v>
      </c>
      <c r="BS224" s="6">
        <f>BR224/BR238</f>
        <v>0.12773722627737227</v>
      </c>
      <c r="BT224" s="6">
        <f>35/$BT$3</f>
        <v>0.12773722627737227</v>
      </c>
      <c r="BV224">
        <v>43</v>
      </c>
      <c r="BW224" s="6">
        <f>BV224/BV238</f>
        <v>0.14098360655737704</v>
      </c>
      <c r="BX224" s="6">
        <f>43/$BX$3</f>
        <v>0.14098360655737704</v>
      </c>
      <c r="BZ224">
        <v>44</v>
      </c>
      <c r="CA224" s="6">
        <f>BZ224/BZ238</f>
        <v>0.19642857142857142</v>
      </c>
      <c r="CB224" s="6">
        <f>44/$CB$3</f>
        <v>0.19642857142857142</v>
      </c>
      <c r="CD224">
        <v>48</v>
      </c>
      <c r="CE224" s="6">
        <f>CD224/CD238</f>
        <v>0.19917012448132779</v>
      </c>
      <c r="CF224" s="6">
        <f>48/$CF$3</f>
        <v>0.19917012448132779</v>
      </c>
      <c r="CH224">
        <v>50</v>
      </c>
      <c r="CI224" s="6">
        <f>CH224/CH238</f>
        <v>0.15151515151515152</v>
      </c>
      <c r="CJ224" s="6">
        <f>50/$CJ$3</f>
        <v>0.15151515151515152</v>
      </c>
    </row>
    <row r="225" spans="1:88" x14ac:dyDescent="0.35">
      <c r="A225" s="1" t="s">
        <v>552</v>
      </c>
      <c r="B225">
        <v>240</v>
      </c>
      <c r="C225" s="6">
        <f>B225/B238</f>
        <v>0.21818181818181817</v>
      </c>
      <c r="D225" s="6">
        <f>240/$D$3</f>
        <v>0.21818181818181817</v>
      </c>
      <c r="F225">
        <v>206</v>
      </c>
      <c r="G225" s="6">
        <f>F225/F238</f>
        <v>0.22612513721185509</v>
      </c>
      <c r="H225" s="6">
        <f>206/$H$3</f>
        <v>0.22612513721185509</v>
      </c>
      <c r="J225">
        <v>105</v>
      </c>
      <c r="K225" s="6">
        <f>J225/J238</f>
        <v>0.24193548387096775</v>
      </c>
      <c r="L225" s="6">
        <f>105/$L$3</f>
        <v>0.24193548387096775</v>
      </c>
      <c r="N225">
        <v>20</v>
      </c>
      <c r="O225" s="6">
        <f>N225/N238</f>
        <v>0.24691358024691357</v>
      </c>
      <c r="P225" s="6">
        <f>20/$P$3</f>
        <v>0.24691358024691357</v>
      </c>
      <c r="R225">
        <v>110</v>
      </c>
      <c r="S225" s="6">
        <f>R225/R238</f>
        <v>0.19642857142857142</v>
      </c>
      <c r="T225" s="6">
        <f>110/$T$3</f>
        <v>0.19642857142857142</v>
      </c>
      <c r="V225">
        <v>130</v>
      </c>
      <c r="W225" s="6">
        <f>V225/V238</f>
        <v>0.24074074074074073</v>
      </c>
      <c r="X225" s="6">
        <f>130/$X$3</f>
        <v>0.24074074074074073</v>
      </c>
      <c r="Z225">
        <v>25</v>
      </c>
      <c r="AA225" s="6">
        <f>Z225/Z238</f>
        <v>0.22123893805309736</v>
      </c>
      <c r="AB225" s="6">
        <f>25/$AB$3</f>
        <v>0.22123893805309736</v>
      </c>
      <c r="AD225">
        <v>44</v>
      </c>
      <c r="AE225" s="6">
        <f>AD225/AD238</f>
        <v>0.22222222222222221</v>
      </c>
      <c r="AF225" s="6">
        <f>44/$AF$3</f>
        <v>0.22222222222222221</v>
      </c>
      <c r="AH225">
        <v>56</v>
      </c>
      <c r="AI225" s="6">
        <f>AH225/AH238</f>
        <v>0.22672064777327935</v>
      </c>
      <c r="AJ225" s="6">
        <f>56/$AJ$3</f>
        <v>0.22672064777327935</v>
      </c>
      <c r="AL225">
        <v>57</v>
      </c>
      <c r="AM225" s="6">
        <f>AL225/AL238</f>
        <v>0.24568965517241378</v>
      </c>
      <c r="AN225" s="6">
        <f>57/$AN$3</f>
        <v>0.24568965517241378</v>
      </c>
      <c r="AP225">
        <v>39</v>
      </c>
      <c r="AQ225" s="6">
        <f>AP225/AP238</f>
        <v>0.20967741935483872</v>
      </c>
      <c r="AR225" s="6">
        <f>39/$AR$3</f>
        <v>0.20967741935483872</v>
      </c>
      <c r="AT225">
        <v>19</v>
      </c>
      <c r="AU225" s="6">
        <f>AT225/AT238</f>
        <v>0.15322580645161291</v>
      </c>
      <c r="AV225" s="6">
        <f>19/$AV$3</f>
        <v>0.15322580645161291</v>
      </c>
      <c r="AX225">
        <v>88</v>
      </c>
      <c r="AY225" s="6">
        <f>AX225/AX238</f>
        <v>0.20465116279069767</v>
      </c>
      <c r="AZ225" s="6">
        <f>88/$AZ$3</f>
        <v>0.20465116279069767</v>
      </c>
      <c r="BB225">
        <v>97</v>
      </c>
      <c r="BC225" s="6">
        <f>BB225/BB238</f>
        <v>0.22663551401869159</v>
      </c>
      <c r="BD225" s="6">
        <f>97/$BD$3</f>
        <v>0.22663551401869159</v>
      </c>
      <c r="BF225">
        <v>55</v>
      </c>
      <c r="BG225" s="6">
        <f>BF225/BF238</f>
        <v>0.22727272727272727</v>
      </c>
      <c r="BH225" s="6">
        <f>55/$BH$3</f>
        <v>0.22727272727272727</v>
      </c>
      <c r="BJ225">
        <v>88</v>
      </c>
      <c r="BK225" s="6">
        <f>BJ225/BJ238</f>
        <v>0.21836228287841192</v>
      </c>
      <c r="BL225" s="6">
        <f>88/$BL$3</f>
        <v>0.21836228287841192</v>
      </c>
      <c r="BN225">
        <v>92</v>
      </c>
      <c r="BO225" s="6">
        <f>BN225/BN238</f>
        <v>0.21749408983451538</v>
      </c>
      <c r="BP225" s="6">
        <f>92/$BP$3</f>
        <v>0.21749408983451538</v>
      </c>
      <c r="BR225">
        <v>60</v>
      </c>
      <c r="BS225" s="6">
        <f>BR225/BR238</f>
        <v>0.21897810218978103</v>
      </c>
      <c r="BT225" s="6">
        <f>60/$BT$3</f>
        <v>0.21897810218978103</v>
      </c>
      <c r="BV225">
        <v>62</v>
      </c>
      <c r="BW225" s="6">
        <f>BV225/BV238</f>
        <v>0.20327868852459016</v>
      </c>
      <c r="BX225" s="6">
        <f>62/$BX$3</f>
        <v>0.20327868852459016</v>
      </c>
      <c r="BZ225">
        <v>54</v>
      </c>
      <c r="CA225" s="6">
        <f>BZ225/BZ238</f>
        <v>0.24107142857142858</v>
      </c>
      <c r="CB225" s="6">
        <f>54/$CB$3</f>
        <v>0.24107142857142858</v>
      </c>
      <c r="CD225">
        <v>60</v>
      </c>
      <c r="CE225" s="6">
        <f>CD225/CD238</f>
        <v>0.24896265560165975</v>
      </c>
      <c r="CF225" s="6">
        <f>60/$CF$3</f>
        <v>0.24896265560165975</v>
      </c>
      <c r="CH225">
        <v>64</v>
      </c>
      <c r="CI225" s="6">
        <f>CH225/CH238</f>
        <v>0.19393939393939394</v>
      </c>
      <c r="CJ225" s="6">
        <f>64/$CJ$3</f>
        <v>0.19393939393939394</v>
      </c>
    </row>
    <row r="226" spans="1:88" x14ac:dyDescent="0.35">
      <c r="A226" s="1" t="s">
        <v>553</v>
      </c>
      <c r="B226">
        <v>198</v>
      </c>
      <c r="C226" s="6">
        <f>B226/B238</f>
        <v>0.18</v>
      </c>
      <c r="D226" s="6">
        <f>198/$D$3</f>
        <v>0.18</v>
      </c>
      <c r="F226">
        <v>170</v>
      </c>
      <c r="G226" s="6">
        <f>F226/F238</f>
        <v>0.18660812294182216</v>
      </c>
      <c r="H226" s="6">
        <f>170/$H$3</f>
        <v>0.18660812294182216</v>
      </c>
      <c r="J226">
        <v>84</v>
      </c>
      <c r="K226" s="6">
        <f>J226/J238</f>
        <v>0.19354838709677419</v>
      </c>
      <c r="L226" s="6">
        <f>84/$L$3</f>
        <v>0.19354838709677419</v>
      </c>
      <c r="N226">
        <v>12</v>
      </c>
      <c r="O226" s="6">
        <f>N226/N238</f>
        <v>0.14814814814814814</v>
      </c>
      <c r="P226" s="6">
        <f>12/$P$3</f>
        <v>0.14814814814814814</v>
      </c>
      <c r="R226">
        <v>112</v>
      </c>
      <c r="S226" s="6">
        <f>R226/R238</f>
        <v>0.2</v>
      </c>
      <c r="T226" s="6">
        <f>112/$T$3</f>
        <v>0.2</v>
      </c>
      <c r="V226">
        <v>86</v>
      </c>
      <c r="W226" s="6">
        <f>V226/V238</f>
        <v>0.15925925925925927</v>
      </c>
      <c r="X226" s="6">
        <f>86/$X$3</f>
        <v>0.15925925925925927</v>
      </c>
      <c r="Z226">
        <v>19</v>
      </c>
      <c r="AA226" s="6">
        <f>Z226/Z238</f>
        <v>0.16814159292035399</v>
      </c>
      <c r="AB226" s="6">
        <f>19/$AB$3</f>
        <v>0.16814159292035399</v>
      </c>
      <c r="AD226">
        <v>26</v>
      </c>
      <c r="AE226" s="6">
        <f>AD226/AD238</f>
        <v>0.13131313131313133</v>
      </c>
      <c r="AF226" s="6">
        <f>26/$AF$3</f>
        <v>0.13131313131313133</v>
      </c>
      <c r="AH226">
        <v>51</v>
      </c>
      <c r="AI226" s="6">
        <f>AH226/AH238</f>
        <v>0.20647773279352227</v>
      </c>
      <c r="AJ226" s="6">
        <f>51/$AJ$3</f>
        <v>0.20647773279352227</v>
      </c>
      <c r="AL226">
        <v>43</v>
      </c>
      <c r="AM226" s="6">
        <f>AL226/AL238</f>
        <v>0.18534482758620691</v>
      </c>
      <c r="AN226" s="6">
        <f>43/$AN$3</f>
        <v>0.18534482758620691</v>
      </c>
      <c r="AP226">
        <v>35</v>
      </c>
      <c r="AQ226" s="6">
        <f>AP226/AP238</f>
        <v>0.18817204301075269</v>
      </c>
      <c r="AR226" s="6">
        <f>35/$AR$3</f>
        <v>0.18817204301075269</v>
      </c>
      <c r="AT226">
        <v>24</v>
      </c>
      <c r="AU226" s="6">
        <f>AT226/AT238</f>
        <v>0.19354838709677419</v>
      </c>
      <c r="AV226" s="6">
        <f>24/$AV$3</f>
        <v>0.19354838709677419</v>
      </c>
      <c r="AX226">
        <v>76</v>
      </c>
      <c r="AY226" s="6">
        <f>AX226/AX238</f>
        <v>0.17674418604651163</v>
      </c>
      <c r="AZ226" s="6">
        <f>76/$AZ$3</f>
        <v>0.17674418604651163</v>
      </c>
      <c r="BB226">
        <v>78</v>
      </c>
      <c r="BC226" s="6">
        <f>BB226/BB238</f>
        <v>0.1822429906542056</v>
      </c>
      <c r="BD226" s="6">
        <f>78/$BD$3</f>
        <v>0.1822429906542056</v>
      </c>
      <c r="BF226">
        <v>44</v>
      </c>
      <c r="BG226" s="6">
        <f>BF226/BF238</f>
        <v>0.18181818181818182</v>
      </c>
      <c r="BH226" s="6">
        <f>44/$BH$3</f>
        <v>0.18181818181818182</v>
      </c>
      <c r="BJ226">
        <v>75</v>
      </c>
      <c r="BK226" s="6">
        <f>BJ226/BJ238</f>
        <v>0.18610421836228289</v>
      </c>
      <c r="BL226" s="6">
        <f>75/$BL$3</f>
        <v>0.18610421836228289</v>
      </c>
      <c r="BN226">
        <v>72</v>
      </c>
      <c r="BO226" s="6">
        <f>BN226/BN238</f>
        <v>0.1702127659574468</v>
      </c>
      <c r="BP226" s="6">
        <f>72/$BP$3</f>
        <v>0.1702127659574468</v>
      </c>
      <c r="BR226">
        <v>51</v>
      </c>
      <c r="BS226" s="6">
        <f>BR226/BR238</f>
        <v>0.18613138686131386</v>
      </c>
      <c r="BT226" s="6">
        <f>51/$BT$3</f>
        <v>0.18613138686131386</v>
      </c>
      <c r="BV226">
        <v>53</v>
      </c>
      <c r="BW226" s="6">
        <f>BV226/BV238</f>
        <v>0.17377049180327869</v>
      </c>
      <c r="BX226" s="6">
        <f>53/$BX$3</f>
        <v>0.17377049180327869</v>
      </c>
      <c r="BZ226">
        <v>35</v>
      </c>
      <c r="CA226" s="6">
        <f>BZ226/BZ238</f>
        <v>0.15625</v>
      </c>
      <c r="CB226" s="6">
        <f>35/$CB$3</f>
        <v>0.15625</v>
      </c>
      <c r="CD226">
        <v>49</v>
      </c>
      <c r="CE226" s="6">
        <f>CD226/CD238</f>
        <v>0.2033195020746888</v>
      </c>
      <c r="CF226" s="6">
        <f>49/$CF$3</f>
        <v>0.2033195020746888</v>
      </c>
      <c r="CH226">
        <v>61</v>
      </c>
      <c r="CI226" s="6">
        <f>CH226/CH238</f>
        <v>0.18484848484848485</v>
      </c>
      <c r="CJ226" s="6">
        <f>61/$CJ$3</f>
        <v>0.18484848484848485</v>
      </c>
    </row>
    <row r="228" spans="1:88" x14ac:dyDescent="0.35">
      <c r="A228" s="1" t="s">
        <v>554</v>
      </c>
      <c r="B228">
        <v>46</v>
      </c>
      <c r="C228" s="6">
        <f>B228/B238</f>
        <v>4.1818181818181817E-2</v>
      </c>
      <c r="D228" s="6">
        <f>46/$D$3</f>
        <v>4.1818181818181817E-2</v>
      </c>
      <c r="F228">
        <v>18</v>
      </c>
      <c r="G228" s="6">
        <f>F228/F238</f>
        <v>1.9758507135016465E-2</v>
      </c>
      <c r="H228" s="6">
        <f>18/$H$3</f>
        <v>1.9758507135016465E-2</v>
      </c>
      <c r="J228">
        <v>6</v>
      </c>
      <c r="K228" s="6">
        <f>J228/J238</f>
        <v>1.3824884792626729E-2</v>
      </c>
      <c r="L228" s="6">
        <f>6/$L$3</f>
        <v>1.3824884792626729E-2</v>
      </c>
      <c r="N228">
        <v>3</v>
      </c>
      <c r="O228" s="6">
        <f>N228/N238</f>
        <v>3.7037037037037035E-2</v>
      </c>
      <c r="P228" s="6">
        <f>3/$P$3</f>
        <v>3.7037037037037035E-2</v>
      </c>
      <c r="R228">
        <v>26</v>
      </c>
      <c r="S228" s="6">
        <f>R228/R238</f>
        <v>4.642857142857143E-2</v>
      </c>
      <c r="T228" s="6">
        <f>26/$T$3</f>
        <v>4.642857142857143E-2</v>
      </c>
      <c r="V228">
        <v>20</v>
      </c>
      <c r="W228" s="6">
        <f>V228/V238</f>
        <v>3.7037037037037035E-2</v>
      </c>
      <c r="X228" s="6">
        <f>20/$X$3</f>
        <v>3.7037037037037035E-2</v>
      </c>
      <c r="Z228">
        <v>6</v>
      </c>
      <c r="AA228" s="6">
        <f>Z228/Z238</f>
        <v>5.3097345132743362E-2</v>
      </c>
      <c r="AB228" s="6">
        <f>6/$AB$3</f>
        <v>5.3097345132743362E-2</v>
      </c>
      <c r="AD228">
        <v>5</v>
      </c>
      <c r="AE228" s="6">
        <f>AD228/AD238</f>
        <v>2.5252525252525252E-2</v>
      </c>
      <c r="AF228" s="6">
        <f>5/$AF$3</f>
        <v>2.5252525252525252E-2</v>
      </c>
      <c r="AH228">
        <v>8</v>
      </c>
      <c r="AI228" s="6">
        <f>AH228/AH238</f>
        <v>3.2388663967611336E-2</v>
      </c>
      <c r="AJ228" s="6">
        <f>8/$AJ$3</f>
        <v>3.2388663967611336E-2</v>
      </c>
      <c r="AL228">
        <v>8</v>
      </c>
      <c r="AM228" s="6">
        <f>AL228/AL238</f>
        <v>3.4482758620689655E-2</v>
      </c>
      <c r="AN228" s="6">
        <f>8/$AN$3</f>
        <v>3.4482758620689655E-2</v>
      </c>
      <c r="AP228">
        <v>11</v>
      </c>
      <c r="AQ228" s="6">
        <f>AP228/AP238</f>
        <v>5.9139784946236562E-2</v>
      </c>
      <c r="AR228" s="6">
        <f>11/$AR$3</f>
        <v>5.9139784946236562E-2</v>
      </c>
      <c r="AT228">
        <v>8</v>
      </c>
      <c r="AU228" s="6">
        <f>AT228/AT238</f>
        <v>6.4516129032258063E-2</v>
      </c>
      <c r="AV228" s="6">
        <f>8/$AV$3</f>
        <v>6.4516129032258063E-2</v>
      </c>
      <c r="AX228">
        <v>16</v>
      </c>
      <c r="AY228" s="6">
        <f>AX228/AX238</f>
        <v>3.7209302325581395E-2</v>
      </c>
      <c r="AZ228" s="6">
        <f>16/$AZ$3</f>
        <v>3.7209302325581395E-2</v>
      </c>
      <c r="BB228">
        <v>17</v>
      </c>
      <c r="BC228" s="6">
        <f>BB228/BB238</f>
        <v>3.9719626168224297E-2</v>
      </c>
      <c r="BD228" s="6">
        <f>17/$BD$3</f>
        <v>3.9719626168224297E-2</v>
      </c>
      <c r="BF228">
        <v>13</v>
      </c>
      <c r="BG228" s="6">
        <f>BF228/BF238</f>
        <v>5.3719008264462811E-2</v>
      </c>
      <c r="BH228" s="6">
        <f>13/$BH$3</f>
        <v>5.3719008264462811E-2</v>
      </c>
      <c r="BJ228">
        <v>21</v>
      </c>
      <c r="BK228" s="6">
        <f>BJ228/BJ238</f>
        <v>5.2109181141439205E-2</v>
      </c>
      <c r="BL228" s="6">
        <f>21/$BL$3</f>
        <v>5.2109181141439205E-2</v>
      </c>
      <c r="BN228">
        <v>15</v>
      </c>
      <c r="BO228" s="6">
        <f>BN228/BN238</f>
        <v>3.5460992907801421E-2</v>
      </c>
      <c r="BP228" s="6">
        <f>15/$BP$3</f>
        <v>3.5460992907801421E-2</v>
      </c>
      <c r="BR228">
        <v>10</v>
      </c>
      <c r="BS228" s="6">
        <f>BR228/BR238</f>
        <v>3.6496350364963501E-2</v>
      </c>
      <c r="BT228" s="6">
        <f>10/$BT$3</f>
        <v>3.6496350364963501E-2</v>
      </c>
      <c r="BV228">
        <v>12</v>
      </c>
      <c r="BW228" s="6">
        <f>BV228/BV238</f>
        <v>3.9344262295081971E-2</v>
      </c>
      <c r="BX228" s="6">
        <f>12/$BX$3</f>
        <v>3.9344262295081971E-2</v>
      </c>
      <c r="BZ228">
        <v>10</v>
      </c>
      <c r="CA228" s="6">
        <f>BZ228/BZ238</f>
        <v>4.4642857142857144E-2</v>
      </c>
      <c r="CB228" s="6">
        <f>10/$CB$3</f>
        <v>4.4642857142857144E-2</v>
      </c>
      <c r="CD228">
        <v>10</v>
      </c>
      <c r="CE228" s="6">
        <f>CD228/CD238</f>
        <v>4.1493775933609957E-2</v>
      </c>
      <c r="CF228" s="6">
        <f>10/$CF$3</f>
        <v>4.1493775933609957E-2</v>
      </c>
      <c r="CH228">
        <v>14</v>
      </c>
      <c r="CI228" s="6">
        <f>CH228/CH238</f>
        <v>4.2424242424242427E-2</v>
      </c>
      <c r="CJ228" s="6">
        <f>14/$CJ$3</f>
        <v>4.2424242424242427E-2</v>
      </c>
    </row>
    <row r="229" spans="1:88" x14ac:dyDescent="0.35">
      <c r="A229" s="1" t="s">
        <v>555</v>
      </c>
      <c r="B229">
        <v>134</v>
      </c>
      <c r="C229" s="6">
        <f>B229/B238</f>
        <v>0.12181818181818181</v>
      </c>
      <c r="D229" s="6">
        <f>134/$D$3</f>
        <v>0.12181818181818181</v>
      </c>
      <c r="F229">
        <v>88</v>
      </c>
      <c r="G229" s="6">
        <f>F229/F238</f>
        <v>9.6597145993413833E-2</v>
      </c>
      <c r="H229" s="6">
        <f>88/$H$3</f>
        <v>9.6597145993413833E-2</v>
      </c>
      <c r="J229">
        <v>22</v>
      </c>
      <c r="K229" s="6">
        <f>J229/J238</f>
        <v>5.0691244239631339E-2</v>
      </c>
      <c r="L229" s="8">
        <f>22/$L$3</f>
        <v>5.0691244239631339E-2</v>
      </c>
      <c r="N229">
        <v>8</v>
      </c>
      <c r="O229" s="6">
        <f>N229/N238</f>
        <v>9.8765432098765427E-2</v>
      </c>
      <c r="P229" s="6">
        <f>8/$P$3</f>
        <v>9.8765432098765427E-2</v>
      </c>
      <c r="R229">
        <v>69</v>
      </c>
      <c r="S229" s="6">
        <f>R229/R238</f>
        <v>0.12321428571428572</v>
      </c>
      <c r="T229" s="6">
        <f>69/$T$3</f>
        <v>0.12321428571428572</v>
      </c>
      <c r="V229">
        <v>65</v>
      </c>
      <c r="W229" s="6">
        <f>V229/V238</f>
        <v>0.12037037037037036</v>
      </c>
      <c r="X229" s="6">
        <f>65/$X$3</f>
        <v>0.12037037037037036</v>
      </c>
      <c r="Z229">
        <v>5</v>
      </c>
      <c r="AA229" s="6">
        <f>Z229/Z238</f>
        <v>4.4247787610619468E-2</v>
      </c>
      <c r="AB229" s="8">
        <f>5/$AB$3</f>
        <v>4.4247787610619468E-2</v>
      </c>
      <c r="AD229">
        <v>15</v>
      </c>
      <c r="AE229" s="6">
        <f>AD229/AD238</f>
        <v>7.575757575757576E-2</v>
      </c>
      <c r="AF229" s="6">
        <f>15/$AF$3</f>
        <v>7.575757575757576E-2</v>
      </c>
      <c r="AH229">
        <v>19</v>
      </c>
      <c r="AI229" s="6">
        <f>AH229/AH238</f>
        <v>7.6923076923076927E-2</v>
      </c>
      <c r="AJ229" s="6">
        <f>19/$AJ$3</f>
        <v>7.6923076923076927E-2</v>
      </c>
      <c r="AL229">
        <v>27</v>
      </c>
      <c r="AM229" s="6">
        <f>AL229/AL238</f>
        <v>0.11637931034482758</v>
      </c>
      <c r="AN229" s="6">
        <f>27/$AN$3</f>
        <v>0.11637931034482758</v>
      </c>
      <c r="AP229">
        <v>40</v>
      </c>
      <c r="AQ229" s="6">
        <f>AP229/AP238</f>
        <v>0.21505376344086022</v>
      </c>
      <c r="AR229" s="9">
        <f>40/$AR$3</f>
        <v>0.21505376344086022</v>
      </c>
      <c r="AS229" s="7"/>
      <c r="AT229">
        <v>28</v>
      </c>
      <c r="AU229" s="6">
        <f>AT229/AT238</f>
        <v>0.22580645161290322</v>
      </c>
      <c r="AV229" s="9">
        <f>28/$AV$3</f>
        <v>0.22580645161290322</v>
      </c>
      <c r="AW229" s="7"/>
      <c r="AX229">
        <v>49</v>
      </c>
      <c r="AY229" s="6">
        <f>AX229/AX238</f>
        <v>0.11395348837209303</v>
      </c>
      <c r="AZ229" s="6">
        <f>49/$AZ$3</f>
        <v>0.11395348837209303</v>
      </c>
      <c r="BB229">
        <v>46</v>
      </c>
      <c r="BC229" s="6">
        <f>BB229/BB238</f>
        <v>0.10747663551401869</v>
      </c>
      <c r="BD229" s="6">
        <f>46/$BD$3</f>
        <v>0.10747663551401869</v>
      </c>
      <c r="BF229">
        <v>39</v>
      </c>
      <c r="BG229" s="6">
        <f>BF229/BF238</f>
        <v>0.16115702479338842</v>
      </c>
      <c r="BH229" s="6">
        <f>39/$BH$3</f>
        <v>0.16115702479338842</v>
      </c>
      <c r="BJ229">
        <v>51</v>
      </c>
      <c r="BK229" s="6">
        <f>BJ229/BJ238</f>
        <v>0.12655086848635236</v>
      </c>
      <c r="BL229" s="6">
        <f>51/$BL$3</f>
        <v>0.12655086848635236</v>
      </c>
      <c r="BN229">
        <v>49</v>
      </c>
      <c r="BO229" s="6">
        <f>BN229/BN238</f>
        <v>0.11583924349881797</v>
      </c>
      <c r="BP229" s="6">
        <f>49/$BP$3</f>
        <v>0.11583924349881797</v>
      </c>
      <c r="BR229">
        <v>34</v>
      </c>
      <c r="BS229" s="6">
        <f>BR229/BR238</f>
        <v>0.12408759124087591</v>
      </c>
      <c r="BT229" s="6">
        <f>34/$BT$3</f>
        <v>0.12408759124087591</v>
      </c>
      <c r="BV229">
        <v>35</v>
      </c>
      <c r="BW229" s="6">
        <f>BV229/BV238</f>
        <v>0.11475409836065574</v>
      </c>
      <c r="BX229" s="6">
        <f>35/$BX$3</f>
        <v>0.11475409836065574</v>
      </c>
      <c r="BZ229">
        <v>23</v>
      </c>
      <c r="CA229" s="6">
        <f>BZ229/BZ238</f>
        <v>0.10267857142857142</v>
      </c>
      <c r="CB229" s="6">
        <f>23/$CB$3</f>
        <v>0.10267857142857142</v>
      </c>
      <c r="CD229">
        <v>34</v>
      </c>
      <c r="CE229" s="6">
        <f>CD229/CD238</f>
        <v>0.14107883817427386</v>
      </c>
      <c r="CF229" s="6">
        <f>34/$CF$3</f>
        <v>0.14107883817427386</v>
      </c>
      <c r="CH229">
        <v>42</v>
      </c>
      <c r="CI229" s="6">
        <f>CH229/CH238</f>
        <v>0.12727272727272726</v>
      </c>
      <c r="CJ229" s="6">
        <f>42/$CJ$3</f>
        <v>0.12727272727272726</v>
      </c>
    </row>
    <row r="230" spans="1:88" x14ac:dyDescent="0.35">
      <c r="A230" s="1" t="s">
        <v>556</v>
      </c>
      <c r="B230">
        <v>90</v>
      </c>
      <c r="C230" s="6">
        <f>B230/B238</f>
        <v>8.1818181818181818E-2</v>
      </c>
      <c r="D230" s="6">
        <f>90/$D$3</f>
        <v>8.1818181818181818E-2</v>
      </c>
      <c r="F230">
        <v>51</v>
      </c>
      <c r="G230" s="6">
        <f>F230/F238</f>
        <v>5.598243688254665E-2</v>
      </c>
      <c r="H230" s="6">
        <f>51/$H$3</f>
        <v>5.598243688254665E-2</v>
      </c>
      <c r="J230">
        <v>20</v>
      </c>
      <c r="K230" s="6">
        <f>J230/J238</f>
        <v>4.6082949308755762E-2</v>
      </c>
      <c r="L230" s="6">
        <f>20/$L$3</f>
        <v>4.6082949308755762E-2</v>
      </c>
      <c r="N230">
        <v>6</v>
      </c>
      <c r="O230" s="6">
        <f>N230/N238</f>
        <v>7.407407407407407E-2</v>
      </c>
      <c r="P230" s="6">
        <f>6/$P$3</f>
        <v>7.407407407407407E-2</v>
      </c>
      <c r="R230">
        <v>49</v>
      </c>
      <c r="S230" s="6">
        <f>R230/R238</f>
        <v>8.7499999999999994E-2</v>
      </c>
      <c r="T230" s="6">
        <f>49/$T$3</f>
        <v>8.7499999999999994E-2</v>
      </c>
      <c r="V230">
        <v>41</v>
      </c>
      <c r="W230" s="6">
        <f>V230/V238</f>
        <v>7.5925925925925924E-2</v>
      </c>
      <c r="X230" s="6">
        <f>41/$X$3</f>
        <v>7.5925925925925924E-2</v>
      </c>
      <c r="Z230">
        <v>12</v>
      </c>
      <c r="AA230" s="6">
        <f>Z230/Z238</f>
        <v>0.10619469026548672</v>
      </c>
      <c r="AB230" s="6">
        <f>12/$AB$3</f>
        <v>0.10619469026548672</v>
      </c>
      <c r="AD230">
        <v>8</v>
      </c>
      <c r="AE230" s="6">
        <f>AD230/AD238</f>
        <v>4.0404040404040407E-2</v>
      </c>
      <c r="AF230" s="6">
        <f>8/$AF$3</f>
        <v>4.0404040404040407E-2</v>
      </c>
      <c r="AH230">
        <v>18</v>
      </c>
      <c r="AI230" s="6">
        <f>AH230/AH238</f>
        <v>7.28744939271255E-2</v>
      </c>
      <c r="AJ230" s="6">
        <f>18/$AJ$3</f>
        <v>7.28744939271255E-2</v>
      </c>
      <c r="AL230">
        <v>18</v>
      </c>
      <c r="AM230" s="6">
        <f>AL230/AL238</f>
        <v>7.7586206896551727E-2</v>
      </c>
      <c r="AN230" s="6">
        <f>18/$AN$3</f>
        <v>7.7586206896551727E-2</v>
      </c>
      <c r="AP230">
        <v>18</v>
      </c>
      <c r="AQ230" s="6">
        <f>AP230/AP238</f>
        <v>9.6774193548387094E-2</v>
      </c>
      <c r="AR230" s="6">
        <f>18/$AR$3</f>
        <v>9.6774193548387094E-2</v>
      </c>
      <c r="AT230">
        <v>16</v>
      </c>
      <c r="AU230" s="6">
        <f>AT230/AT238</f>
        <v>0.12903225806451613</v>
      </c>
      <c r="AV230" s="6">
        <f>16/$AV$3</f>
        <v>0.12903225806451613</v>
      </c>
      <c r="AW230" s="7"/>
      <c r="AX230">
        <v>37</v>
      </c>
      <c r="AY230" s="6">
        <f>AX230/AX238</f>
        <v>8.6046511627906982E-2</v>
      </c>
      <c r="AZ230" s="6">
        <f>37/$AZ$3</f>
        <v>8.6046511627906982E-2</v>
      </c>
      <c r="BB230">
        <v>30</v>
      </c>
      <c r="BC230" s="6">
        <f>BB230/BB238</f>
        <v>7.0093457943925228E-2</v>
      </c>
      <c r="BD230" s="6">
        <f>30/$BD$3</f>
        <v>7.0093457943925228E-2</v>
      </c>
      <c r="BF230">
        <v>23</v>
      </c>
      <c r="BG230" s="6">
        <f>BF230/BF238</f>
        <v>9.5041322314049589E-2</v>
      </c>
      <c r="BH230" s="6">
        <f>23/$BH$3</f>
        <v>9.5041322314049589E-2</v>
      </c>
      <c r="BJ230">
        <v>41</v>
      </c>
      <c r="BK230" s="6">
        <f>BJ230/BJ238</f>
        <v>0.10173697270471464</v>
      </c>
      <c r="BL230" s="6">
        <f>41/$BL$3</f>
        <v>0.10173697270471464</v>
      </c>
      <c r="BN230">
        <v>29</v>
      </c>
      <c r="BO230" s="6">
        <f>BN230/BN238</f>
        <v>6.8557919621749411E-2</v>
      </c>
      <c r="BP230" s="6">
        <f>29/$BP$3</f>
        <v>6.8557919621749411E-2</v>
      </c>
      <c r="BR230">
        <v>20</v>
      </c>
      <c r="BS230" s="6">
        <f>BR230/BR238</f>
        <v>7.2992700729927001E-2</v>
      </c>
      <c r="BT230" s="6">
        <f>20/$BT$3</f>
        <v>7.2992700729927001E-2</v>
      </c>
      <c r="BV230">
        <v>25</v>
      </c>
      <c r="BW230" s="6">
        <f>BV230/BV238</f>
        <v>8.1967213114754092E-2</v>
      </c>
      <c r="BX230" s="6">
        <f>25/$BX$3</f>
        <v>8.1967213114754092E-2</v>
      </c>
      <c r="BZ230">
        <v>14</v>
      </c>
      <c r="CA230" s="6">
        <f>BZ230/BZ238</f>
        <v>6.25E-2</v>
      </c>
      <c r="CB230" s="6">
        <f>14/$CB$3</f>
        <v>6.25E-2</v>
      </c>
      <c r="CD230">
        <v>22</v>
      </c>
      <c r="CE230" s="6">
        <f>CD230/CD238</f>
        <v>9.1286307053941904E-2</v>
      </c>
      <c r="CF230" s="6">
        <f>22/$CF$3</f>
        <v>9.1286307053941904E-2</v>
      </c>
      <c r="CH230">
        <v>29</v>
      </c>
      <c r="CI230" s="6">
        <f>CH230/CH238</f>
        <v>8.7878787878787876E-2</v>
      </c>
      <c r="CJ230" s="6">
        <f>29/$CJ$3</f>
        <v>8.7878787878787876E-2</v>
      </c>
    </row>
    <row r="231" spans="1:88" x14ac:dyDescent="0.35">
      <c r="A231" s="1" t="s">
        <v>557</v>
      </c>
      <c r="B231">
        <v>53</v>
      </c>
      <c r="C231" s="6">
        <f>B231/B238</f>
        <v>4.818181818181818E-2</v>
      </c>
      <c r="D231" s="6">
        <f>53/$D$3</f>
        <v>4.818181818181818E-2</v>
      </c>
      <c r="F231">
        <v>23</v>
      </c>
      <c r="G231" s="6">
        <f>F231/F238</f>
        <v>2.5246981339187707E-2</v>
      </c>
      <c r="H231" s="6">
        <f>23/$H$3</f>
        <v>2.5246981339187707E-2</v>
      </c>
      <c r="J231">
        <v>4</v>
      </c>
      <c r="K231" s="6">
        <f>J231/J238</f>
        <v>9.2165898617511521E-3</v>
      </c>
      <c r="L231" s="6">
        <f>4/$L$3</f>
        <v>9.2165898617511521E-3</v>
      </c>
      <c r="N231">
        <v>4</v>
      </c>
      <c r="O231" s="6">
        <f>N231/N238</f>
        <v>4.9382716049382713E-2</v>
      </c>
      <c r="P231" s="6">
        <f>4/$P$3</f>
        <v>4.9382716049382713E-2</v>
      </c>
      <c r="R231">
        <v>32</v>
      </c>
      <c r="S231" s="6">
        <f>R231/R238</f>
        <v>5.7142857142857141E-2</v>
      </c>
      <c r="T231" s="6">
        <f>32/$T$3</f>
        <v>5.7142857142857141E-2</v>
      </c>
      <c r="V231">
        <v>21</v>
      </c>
      <c r="W231" s="6">
        <f>V231/V238</f>
        <v>3.888888888888889E-2</v>
      </c>
      <c r="X231" s="6">
        <f>21/$X$3</f>
        <v>3.888888888888889E-2</v>
      </c>
      <c r="Z231">
        <v>4</v>
      </c>
      <c r="AA231" s="6">
        <f>Z231/Z238</f>
        <v>3.5398230088495575E-2</v>
      </c>
      <c r="AB231" s="6">
        <f>4/$AB$3</f>
        <v>3.5398230088495575E-2</v>
      </c>
      <c r="AD231">
        <v>5</v>
      </c>
      <c r="AE231" s="6">
        <f>AD231/AD238</f>
        <v>2.5252525252525252E-2</v>
      </c>
      <c r="AF231" s="6">
        <f>5/$AF$3</f>
        <v>2.5252525252525252E-2</v>
      </c>
      <c r="AH231">
        <v>9</v>
      </c>
      <c r="AI231" s="6">
        <f>AH231/AH238</f>
        <v>3.643724696356275E-2</v>
      </c>
      <c r="AJ231" s="6">
        <f>9/$AJ$3</f>
        <v>3.643724696356275E-2</v>
      </c>
      <c r="AL231">
        <v>11</v>
      </c>
      <c r="AM231" s="6">
        <f>AL231/AL238</f>
        <v>4.7413793103448273E-2</v>
      </c>
      <c r="AN231" s="6">
        <f>11/$AN$3</f>
        <v>4.7413793103448273E-2</v>
      </c>
      <c r="AP231">
        <v>11</v>
      </c>
      <c r="AQ231" s="6">
        <f>AP231/AP238</f>
        <v>5.9139784946236562E-2</v>
      </c>
      <c r="AR231" s="6">
        <f>11/$AR$3</f>
        <v>5.9139784946236562E-2</v>
      </c>
      <c r="AT231">
        <v>13</v>
      </c>
      <c r="AU231" s="6">
        <f>AT231/AT238</f>
        <v>0.10483870967741936</v>
      </c>
      <c r="AV231" s="6">
        <f>13/$AV$3</f>
        <v>0.10483870967741936</v>
      </c>
      <c r="AW231" s="7"/>
      <c r="AX231">
        <v>20</v>
      </c>
      <c r="AY231" s="6">
        <f>AX231/AX238</f>
        <v>4.6511627906976744E-2</v>
      </c>
      <c r="AZ231" s="6">
        <f>20/$AZ$3</f>
        <v>4.6511627906976744E-2</v>
      </c>
      <c r="BB231">
        <v>17</v>
      </c>
      <c r="BC231" s="6">
        <f>BB231/BB238</f>
        <v>3.9719626168224297E-2</v>
      </c>
      <c r="BD231" s="6">
        <f>17/$BD$3</f>
        <v>3.9719626168224297E-2</v>
      </c>
      <c r="BF231">
        <v>16</v>
      </c>
      <c r="BG231" s="6">
        <f>BF231/BF238</f>
        <v>6.6115702479338845E-2</v>
      </c>
      <c r="BH231" s="6">
        <f>16/$BH$3</f>
        <v>6.6115702479338845E-2</v>
      </c>
      <c r="BJ231">
        <v>23</v>
      </c>
      <c r="BK231" s="6">
        <f>BJ231/BJ238</f>
        <v>5.7071960297766747E-2</v>
      </c>
      <c r="BL231" s="6">
        <f>23/$BL$3</f>
        <v>5.7071960297766747E-2</v>
      </c>
      <c r="BN231">
        <v>22</v>
      </c>
      <c r="BO231" s="6">
        <f>BN231/BN238</f>
        <v>5.2009456264775412E-2</v>
      </c>
      <c r="BP231" s="6">
        <f>22/$BP$3</f>
        <v>5.2009456264775412E-2</v>
      </c>
      <c r="BR231">
        <v>8</v>
      </c>
      <c r="BS231" s="6">
        <f>BR231/BR238</f>
        <v>2.9197080291970802E-2</v>
      </c>
      <c r="BT231" s="6">
        <f>8/$BT$3</f>
        <v>2.9197080291970802E-2</v>
      </c>
      <c r="BV231">
        <v>14</v>
      </c>
      <c r="BW231" s="6">
        <f>BV231/BV238</f>
        <v>4.5901639344262293E-2</v>
      </c>
      <c r="BX231" s="6">
        <f>14/$BX$3</f>
        <v>4.5901639344262293E-2</v>
      </c>
      <c r="BZ231">
        <v>12</v>
      </c>
      <c r="CA231" s="6">
        <f>BZ231/BZ238</f>
        <v>5.3571428571428568E-2</v>
      </c>
      <c r="CB231" s="6">
        <f>12/$CB$3</f>
        <v>5.3571428571428568E-2</v>
      </c>
      <c r="CD231">
        <v>11</v>
      </c>
      <c r="CE231" s="6">
        <f>CD231/CD238</f>
        <v>4.5643153526970952E-2</v>
      </c>
      <c r="CF231" s="6">
        <f>11/$CF$3</f>
        <v>4.5643153526970952E-2</v>
      </c>
      <c r="CH231">
        <v>16</v>
      </c>
      <c r="CI231" s="6">
        <f>CH231/CH238</f>
        <v>4.8484848484848485E-2</v>
      </c>
      <c r="CJ231" s="6">
        <f>16/$CJ$3</f>
        <v>4.8484848484848485E-2</v>
      </c>
    </row>
    <row r="232" spans="1:88" x14ac:dyDescent="0.35">
      <c r="A232" s="1" t="s">
        <v>558</v>
      </c>
      <c r="B232">
        <v>72</v>
      </c>
      <c r="C232" s="6">
        <f>B232/B238</f>
        <v>6.545454545454546E-2</v>
      </c>
      <c r="D232" s="6">
        <f>72/$D$3</f>
        <v>6.545454545454546E-2</v>
      </c>
      <c r="F232">
        <v>37</v>
      </c>
      <c r="G232" s="6">
        <f>F232/F238</f>
        <v>4.0614709110867182E-2</v>
      </c>
      <c r="H232" s="6">
        <f>37/$H$3</f>
        <v>4.0614709110867182E-2</v>
      </c>
      <c r="J232">
        <v>14</v>
      </c>
      <c r="K232" s="6">
        <f>J232/J238</f>
        <v>3.2258064516129031E-2</v>
      </c>
      <c r="L232" s="6">
        <f>14/$L$3</f>
        <v>3.2258064516129031E-2</v>
      </c>
      <c r="N232">
        <v>3</v>
      </c>
      <c r="O232" s="6">
        <f>N232/N238</f>
        <v>3.7037037037037035E-2</v>
      </c>
      <c r="P232" s="6">
        <f>3/$P$3</f>
        <v>3.7037037037037035E-2</v>
      </c>
      <c r="R232">
        <v>47</v>
      </c>
      <c r="S232" s="6">
        <f>R232/R238</f>
        <v>8.3928571428571422E-2</v>
      </c>
      <c r="T232" s="6">
        <f>47/$T$3</f>
        <v>8.3928571428571422E-2</v>
      </c>
      <c r="V232">
        <v>25</v>
      </c>
      <c r="W232" s="6">
        <f>V232/V238</f>
        <v>4.6296296296296294E-2</v>
      </c>
      <c r="X232" s="6">
        <f>25/$X$3</f>
        <v>4.6296296296296294E-2</v>
      </c>
      <c r="Z232">
        <v>9</v>
      </c>
      <c r="AA232" s="6">
        <f>Z232/Z238</f>
        <v>7.9646017699115043E-2</v>
      </c>
      <c r="AB232" s="6">
        <f>9/$AB$3</f>
        <v>7.9646017699115043E-2</v>
      </c>
      <c r="AD232">
        <v>11</v>
      </c>
      <c r="AE232" s="6">
        <f>AD232/AD238</f>
        <v>5.5555555555555552E-2</v>
      </c>
      <c r="AF232" s="6">
        <f>11/$AF$3</f>
        <v>5.5555555555555552E-2</v>
      </c>
      <c r="AH232">
        <v>13</v>
      </c>
      <c r="AI232" s="6">
        <f>AH232/AH238</f>
        <v>5.2631578947368418E-2</v>
      </c>
      <c r="AJ232" s="6">
        <f>13/$AJ$3</f>
        <v>5.2631578947368418E-2</v>
      </c>
      <c r="AL232">
        <v>13</v>
      </c>
      <c r="AM232" s="6">
        <f>AL232/AL238</f>
        <v>5.6034482758620691E-2</v>
      </c>
      <c r="AN232" s="6">
        <f>13/$AN$3</f>
        <v>5.6034482758620691E-2</v>
      </c>
      <c r="AP232">
        <v>14</v>
      </c>
      <c r="AQ232" s="6">
        <f>AP232/AP238</f>
        <v>7.5268817204301078E-2</v>
      </c>
      <c r="AR232" s="6">
        <f>14/$AR$3</f>
        <v>7.5268817204301078E-2</v>
      </c>
      <c r="AT232">
        <v>12</v>
      </c>
      <c r="AU232" s="6">
        <f>AT232/AT238</f>
        <v>9.6774193548387094E-2</v>
      </c>
      <c r="AV232" s="6">
        <f>12/$AV$3</f>
        <v>9.6774193548387094E-2</v>
      </c>
      <c r="AX232">
        <v>27</v>
      </c>
      <c r="AY232" s="6">
        <f>AX232/AX238</f>
        <v>6.2790697674418611E-2</v>
      </c>
      <c r="AZ232" s="6">
        <f>27/$AZ$3</f>
        <v>6.2790697674418611E-2</v>
      </c>
      <c r="BB232">
        <v>22</v>
      </c>
      <c r="BC232" s="6">
        <f>BB232/BB238</f>
        <v>5.1401869158878503E-2</v>
      </c>
      <c r="BD232" s="6">
        <f>22/$BD$3</f>
        <v>5.1401869158878503E-2</v>
      </c>
      <c r="BF232">
        <v>23</v>
      </c>
      <c r="BG232" s="6">
        <f>BF232/BF238</f>
        <v>9.5041322314049589E-2</v>
      </c>
      <c r="BH232" s="6">
        <f>23/$BH$3</f>
        <v>9.5041322314049589E-2</v>
      </c>
      <c r="BJ232">
        <v>30</v>
      </c>
      <c r="BK232" s="6">
        <f>BJ232/BJ238</f>
        <v>7.4441687344913146E-2</v>
      </c>
      <c r="BL232" s="6">
        <f>30/$BL$3</f>
        <v>7.4441687344913146E-2</v>
      </c>
      <c r="BN232">
        <v>25</v>
      </c>
      <c r="BO232" s="6">
        <f>BN232/BN238</f>
        <v>5.9101654846335699E-2</v>
      </c>
      <c r="BP232" s="6">
        <f>25/$BP$3</f>
        <v>5.9101654846335699E-2</v>
      </c>
      <c r="BR232">
        <v>17</v>
      </c>
      <c r="BS232" s="6">
        <f>BR232/BR238</f>
        <v>6.2043795620437957E-2</v>
      </c>
      <c r="BT232" s="6">
        <f>17/$BT$3</f>
        <v>6.2043795620437957E-2</v>
      </c>
      <c r="BV232">
        <v>18</v>
      </c>
      <c r="BW232" s="6">
        <f>BV232/BV238</f>
        <v>5.9016393442622953E-2</v>
      </c>
      <c r="BX232" s="6">
        <f>18/$BX$3</f>
        <v>5.9016393442622953E-2</v>
      </c>
      <c r="BZ232">
        <v>11</v>
      </c>
      <c r="CA232" s="6">
        <f>BZ232/BZ238</f>
        <v>4.9107142857142856E-2</v>
      </c>
      <c r="CB232" s="6">
        <f>11/$CB$3</f>
        <v>4.9107142857142856E-2</v>
      </c>
      <c r="CD232">
        <v>17</v>
      </c>
      <c r="CE232" s="6">
        <f>CD232/CD238</f>
        <v>7.0539419087136929E-2</v>
      </c>
      <c r="CF232" s="6">
        <f>17/$CF$3</f>
        <v>7.0539419087136929E-2</v>
      </c>
      <c r="CH232">
        <v>26</v>
      </c>
      <c r="CI232" s="6">
        <f>CH232/CH238</f>
        <v>7.8787878787878782E-2</v>
      </c>
      <c r="CJ232" s="6">
        <f>26/$CJ$3</f>
        <v>7.8787878787878782E-2</v>
      </c>
    </row>
    <row r="233" spans="1:88" x14ac:dyDescent="0.35">
      <c r="A233" s="1" t="s">
        <v>559</v>
      </c>
      <c r="B233">
        <v>102</v>
      </c>
      <c r="C233" s="6">
        <f>B233/B238</f>
        <v>9.2727272727272728E-2</v>
      </c>
      <c r="D233" s="6">
        <f>102/$D$3</f>
        <v>9.2727272727272728E-2</v>
      </c>
      <c r="F233">
        <v>66</v>
      </c>
      <c r="G233" s="6">
        <f>F233/F238</f>
        <v>7.2447859495060371E-2</v>
      </c>
      <c r="H233" s="6">
        <f>66/$H$3</f>
        <v>7.2447859495060371E-2</v>
      </c>
      <c r="J233">
        <v>26</v>
      </c>
      <c r="K233" s="6">
        <f>J233/J238</f>
        <v>5.9907834101382486E-2</v>
      </c>
      <c r="L233" s="6">
        <f>26/$L$3</f>
        <v>5.9907834101382486E-2</v>
      </c>
      <c r="N233">
        <v>7</v>
      </c>
      <c r="O233" s="6">
        <f>N233/N238</f>
        <v>8.6419753086419748E-2</v>
      </c>
      <c r="P233" s="6">
        <f>7/$P$3</f>
        <v>8.6419753086419748E-2</v>
      </c>
      <c r="R233">
        <v>55</v>
      </c>
      <c r="S233" s="6">
        <f>R233/R238</f>
        <v>9.8214285714285712E-2</v>
      </c>
      <c r="T233" s="6">
        <f>55/$T$3</f>
        <v>9.8214285714285712E-2</v>
      </c>
      <c r="V233">
        <v>47</v>
      </c>
      <c r="W233" s="6">
        <f>V233/V238</f>
        <v>8.7037037037037038E-2</v>
      </c>
      <c r="X233" s="6">
        <f>47/$X$3</f>
        <v>8.7037037037037038E-2</v>
      </c>
      <c r="Z233">
        <v>9</v>
      </c>
      <c r="AA233" s="6">
        <f>Z233/Z238</f>
        <v>7.9646017699115043E-2</v>
      </c>
      <c r="AB233" s="6">
        <f>9/$AB$3</f>
        <v>7.9646017699115043E-2</v>
      </c>
      <c r="AD233">
        <v>8</v>
      </c>
      <c r="AE233" s="6">
        <f>AD233/AD238</f>
        <v>4.0404040404040407E-2</v>
      </c>
      <c r="AF233" s="8">
        <f>8/$AF$3</f>
        <v>4.0404040404040407E-2</v>
      </c>
      <c r="AH233">
        <v>21</v>
      </c>
      <c r="AI233" s="6">
        <f>AH233/AH238</f>
        <v>8.5020242914979755E-2</v>
      </c>
      <c r="AJ233" s="6">
        <f>21/$AJ$3</f>
        <v>8.5020242914979755E-2</v>
      </c>
      <c r="AL233">
        <v>19</v>
      </c>
      <c r="AM233" s="6">
        <f>AL233/AL238</f>
        <v>8.1896551724137928E-2</v>
      </c>
      <c r="AN233" s="6">
        <f>19/$AN$3</f>
        <v>8.1896551724137928E-2</v>
      </c>
      <c r="AP233">
        <v>32</v>
      </c>
      <c r="AQ233" s="6">
        <f>AP233/AP238</f>
        <v>0.17204301075268819</v>
      </c>
      <c r="AR233" s="9">
        <f>32/$AR$3</f>
        <v>0.17204301075268819</v>
      </c>
      <c r="AS233" s="7"/>
      <c r="AT233">
        <v>13</v>
      </c>
      <c r="AU233" s="6">
        <f>AT233/AT238</f>
        <v>0.10483870967741936</v>
      </c>
      <c r="AV233" s="6">
        <f>13/$AV$3</f>
        <v>0.10483870967741936</v>
      </c>
      <c r="AX233">
        <v>45</v>
      </c>
      <c r="AY233" s="6">
        <f>AX233/AX238</f>
        <v>0.10465116279069768</v>
      </c>
      <c r="AZ233" s="6">
        <f>45/$AZ$3</f>
        <v>0.10465116279069768</v>
      </c>
      <c r="BB233">
        <v>35</v>
      </c>
      <c r="BC233" s="6">
        <f>BB233/BB238</f>
        <v>8.1775700934579434E-2</v>
      </c>
      <c r="BD233" s="6">
        <f>35/$BD$3</f>
        <v>8.1775700934579434E-2</v>
      </c>
      <c r="BF233">
        <v>22</v>
      </c>
      <c r="BG233" s="6">
        <f>BF233/BF238</f>
        <v>9.0909090909090912E-2</v>
      </c>
      <c r="BH233" s="6">
        <f>22/$BH$3</f>
        <v>9.0909090909090912E-2</v>
      </c>
      <c r="BJ233">
        <v>46</v>
      </c>
      <c r="BK233" s="6">
        <f>BJ233/BJ238</f>
        <v>0.11414392059553349</v>
      </c>
      <c r="BL233" s="6">
        <f>46/$BL$3</f>
        <v>0.11414392059553349</v>
      </c>
      <c r="BN233">
        <v>37</v>
      </c>
      <c r="BO233" s="6">
        <f>BN233/BN238</f>
        <v>8.7470449172576833E-2</v>
      </c>
      <c r="BP233" s="6">
        <f>37/$BP$3</f>
        <v>8.7470449172576833E-2</v>
      </c>
      <c r="BR233">
        <v>19</v>
      </c>
      <c r="BS233" s="6">
        <f>BR233/BR238</f>
        <v>6.9343065693430656E-2</v>
      </c>
      <c r="BT233" s="6">
        <f>19/$BT$3</f>
        <v>6.9343065693430656E-2</v>
      </c>
      <c r="BV233">
        <v>29</v>
      </c>
      <c r="BW233" s="6">
        <f>BV233/BV238</f>
        <v>9.5081967213114751E-2</v>
      </c>
      <c r="BX233" s="6">
        <f>29/$BX$3</f>
        <v>9.5081967213114751E-2</v>
      </c>
      <c r="BZ233">
        <v>21</v>
      </c>
      <c r="CA233" s="6">
        <f>BZ233/BZ238</f>
        <v>9.375E-2</v>
      </c>
      <c r="CB233" s="6">
        <f>21/$CB$3</f>
        <v>9.375E-2</v>
      </c>
      <c r="CD233">
        <v>19</v>
      </c>
      <c r="CE233" s="6">
        <f>CD233/CD238</f>
        <v>7.8838174273858919E-2</v>
      </c>
      <c r="CF233" s="6">
        <f>19/$CF$3</f>
        <v>7.8838174273858919E-2</v>
      </c>
      <c r="CH233">
        <v>33</v>
      </c>
      <c r="CI233" s="6">
        <f>CH233/CH238</f>
        <v>0.1</v>
      </c>
      <c r="CJ233" s="6">
        <f>33/$CJ$3</f>
        <v>0.1</v>
      </c>
    </row>
    <row r="234" spans="1:88" x14ac:dyDescent="0.35">
      <c r="A234" s="1" t="s">
        <v>560</v>
      </c>
      <c r="B234">
        <v>505</v>
      </c>
      <c r="C234" s="6">
        <f>B234/B238</f>
        <v>0.45909090909090911</v>
      </c>
      <c r="D234" s="6">
        <f>505/$D$3</f>
        <v>0.45909090909090911</v>
      </c>
      <c r="F234">
        <v>394</v>
      </c>
      <c r="G234" s="6">
        <f>F234/F238</f>
        <v>0.43249176728869376</v>
      </c>
      <c r="H234" s="6">
        <f>394/$H$3</f>
        <v>0.43249176728869376</v>
      </c>
      <c r="J234">
        <v>161</v>
      </c>
      <c r="K234" s="6">
        <f>J234/J238</f>
        <v>0.37096774193548387</v>
      </c>
      <c r="L234" s="8">
        <f>161/$L$3</f>
        <v>0.37096774193548387</v>
      </c>
      <c r="N234">
        <v>36</v>
      </c>
      <c r="O234" s="6">
        <f>N234/N238</f>
        <v>0.44444444444444442</v>
      </c>
      <c r="P234" s="6">
        <f>36/$P$3</f>
        <v>0.44444444444444442</v>
      </c>
      <c r="R234">
        <v>265</v>
      </c>
      <c r="S234" s="6">
        <f>R234/R238</f>
        <v>0.4732142857142857</v>
      </c>
      <c r="T234" s="6">
        <f>265/$T$3</f>
        <v>0.4732142857142857</v>
      </c>
      <c r="V234">
        <v>240</v>
      </c>
      <c r="W234" s="6">
        <f>V234/V238</f>
        <v>0.44444444444444442</v>
      </c>
      <c r="X234" s="6">
        <f>240/$X$3</f>
        <v>0.44444444444444442</v>
      </c>
      <c r="Z234">
        <v>60</v>
      </c>
      <c r="AA234" s="6">
        <f>Z234/Z238</f>
        <v>0.53097345132743368</v>
      </c>
      <c r="AB234" s="6">
        <f>60/$AB$3</f>
        <v>0.53097345132743368</v>
      </c>
      <c r="AC234" s="7"/>
      <c r="AD234">
        <v>64</v>
      </c>
      <c r="AE234" s="6">
        <f>AD234/AD238</f>
        <v>0.32323232323232326</v>
      </c>
      <c r="AF234" s="8">
        <f>64/$AF$3</f>
        <v>0.32323232323232326</v>
      </c>
      <c r="AH234">
        <v>67</v>
      </c>
      <c r="AI234" s="6">
        <f>AH234/AH238</f>
        <v>0.27125506072874495</v>
      </c>
      <c r="AJ234" s="8">
        <f>67/$AJ$3</f>
        <v>0.27125506072874495</v>
      </c>
      <c r="AL234">
        <v>119</v>
      </c>
      <c r="AM234" s="6">
        <f>AL234/AL238</f>
        <v>0.51293103448275867</v>
      </c>
      <c r="AN234" s="6">
        <f>119/$AN$3</f>
        <v>0.51293103448275867</v>
      </c>
      <c r="AO234" s="7"/>
      <c r="AP234">
        <v>115</v>
      </c>
      <c r="AQ234" s="6">
        <f>AP234/AP238</f>
        <v>0.61827956989247312</v>
      </c>
      <c r="AR234" s="9">
        <f>115/$AR$3</f>
        <v>0.61827956989247312</v>
      </c>
      <c r="AS234" s="7"/>
      <c r="AT234">
        <v>80</v>
      </c>
      <c r="AU234" s="6">
        <f>AT234/AT238</f>
        <v>0.64516129032258063</v>
      </c>
      <c r="AV234" s="9">
        <f>80/$AV$3</f>
        <v>0.64516129032258063</v>
      </c>
      <c r="AW234" s="7"/>
      <c r="AX234">
        <v>195</v>
      </c>
      <c r="AY234" s="6">
        <f>AX234/AX238</f>
        <v>0.45348837209302323</v>
      </c>
      <c r="AZ234" s="6">
        <f>195/$AZ$3</f>
        <v>0.45348837209302323</v>
      </c>
      <c r="BB234">
        <v>193</v>
      </c>
      <c r="BC234" s="6">
        <f>BB234/BB238</f>
        <v>0.45093457943925236</v>
      </c>
      <c r="BD234" s="6">
        <f>193/$BD$3</f>
        <v>0.45093457943925236</v>
      </c>
      <c r="BF234">
        <v>117</v>
      </c>
      <c r="BG234" s="6">
        <f>BF234/BF238</f>
        <v>0.48347107438016529</v>
      </c>
      <c r="BH234" s="6">
        <f>117/$BH$3</f>
        <v>0.48347107438016529</v>
      </c>
      <c r="BJ234">
        <v>150</v>
      </c>
      <c r="BK234" s="6">
        <f>BJ234/BJ238</f>
        <v>0.37220843672456577</v>
      </c>
      <c r="BL234" s="8">
        <f>150/$BL$3</f>
        <v>0.37220843672456577</v>
      </c>
      <c r="BN234">
        <v>210</v>
      </c>
      <c r="BO234" s="6">
        <f>BN234/BN238</f>
        <v>0.49645390070921985</v>
      </c>
      <c r="BP234" s="6">
        <f>210/$BP$3</f>
        <v>0.49645390070921985</v>
      </c>
      <c r="BQ234" s="7"/>
      <c r="BR234">
        <v>145</v>
      </c>
      <c r="BS234" s="6">
        <f>BR234/BR238</f>
        <v>0.52919708029197077</v>
      </c>
      <c r="BT234" s="9">
        <f>145/$BT$3</f>
        <v>0.52919708029197077</v>
      </c>
      <c r="BU234" s="7"/>
      <c r="BV234">
        <v>132</v>
      </c>
      <c r="BW234" s="6">
        <f>BV234/BV238</f>
        <v>0.43278688524590164</v>
      </c>
      <c r="BX234" s="6">
        <f>132/$BX$3</f>
        <v>0.43278688524590164</v>
      </c>
      <c r="BZ234">
        <v>96</v>
      </c>
      <c r="CA234" s="6">
        <f>BZ234/BZ238</f>
        <v>0.42857142857142855</v>
      </c>
      <c r="CB234" s="6">
        <f>96/$CB$3</f>
        <v>0.42857142857142855</v>
      </c>
      <c r="CD234">
        <v>106</v>
      </c>
      <c r="CE234" s="6">
        <f>CD234/CD238</f>
        <v>0.43983402489626555</v>
      </c>
      <c r="CF234" s="6">
        <f>106/$CF$3</f>
        <v>0.43983402489626555</v>
      </c>
      <c r="CH234">
        <v>171</v>
      </c>
      <c r="CI234" s="6">
        <f>CH234/CH238</f>
        <v>0.51818181818181819</v>
      </c>
      <c r="CJ234" s="9">
        <f>171/$CJ$3</f>
        <v>0.51818181818181819</v>
      </c>
    </row>
    <row r="235" spans="1:88" x14ac:dyDescent="0.35">
      <c r="A235" s="1" t="s">
        <v>561</v>
      </c>
      <c r="B235">
        <v>569</v>
      </c>
      <c r="C235" s="6">
        <f>B235/B238</f>
        <v>0.51727272727272722</v>
      </c>
      <c r="D235" s="6">
        <f>569/$D$3</f>
        <v>0.51727272727272722</v>
      </c>
      <c r="F235">
        <v>450</v>
      </c>
      <c r="G235" s="6">
        <f>F235/F238</f>
        <v>0.49396267837541163</v>
      </c>
      <c r="H235" s="6">
        <f>450/$H$3</f>
        <v>0.49396267837541163</v>
      </c>
      <c r="J235">
        <v>187</v>
      </c>
      <c r="K235" s="6">
        <f>J235/J238</f>
        <v>0.43087557603686638</v>
      </c>
      <c r="L235" s="8">
        <f>187/$L$3</f>
        <v>0.43087557603686638</v>
      </c>
      <c r="N235">
        <v>36</v>
      </c>
      <c r="O235" s="6">
        <f>N235/N238</f>
        <v>0.44444444444444442</v>
      </c>
      <c r="P235" s="6">
        <f>36/$P$3</f>
        <v>0.44444444444444442</v>
      </c>
      <c r="R235">
        <v>220</v>
      </c>
      <c r="S235" s="6">
        <f>R235/R238</f>
        <v>0.39285714285714285</v>
      </c>
      <c r="T235" s="8">
        <f>220/$T$3</f>
        <v>0.39285714285714285</v>
      </c>
      <c r="V235">
        <v>349</v>
      </c>
      <c r="W235" s="6">
        <f>V235/V238</f>
        <v>0.64629629629629626</v>
      </c>
      <c r="X235" s="9">
        <f>349/$X$3</f>
        <v>0.64629629629629626</v>
      </c>
      <c r="Z235">
        <v>53</v>
      </c>
      <c r="AA235" s="6">
        <f>Z235/Z238</f>
        <v>0.46902654867256638</v>
      </c>
      <c r="AB235" s="6">
        <f>53/$AB$3</f>
        <v>0.46902654867256638</v>
      </c>
      <c r="AD235">
        <v>116</v>
      </c>
      <c r="AE235" s="6">
        <f>AD235/AD238</f>
        <v>0.58585858585858586</v>
      </c>
      <c r="AF235" s="9">
        <f>116/$AF$3</f>
        <v>0.58585858585858586</v>
      </c>
      <c r="AH235">
        <v>132</v>
      </c>
      <c r="AI235" s="6">
        <f>AH235/AH238</f>
        <v>0.53441295546558709</v>
      </c>
      <c r="AJ235" s="6">
        <f>132/$AJ$3</f>
        <v>0.53441295546558709</v>
      </c>
      <c r="AL235">
        <v>113</v>
      </c>
      <c r="AM235" s="6">
        <f>AL235/AL238</f>
        <v>0.48706896551724138</v>
      </c>
      <c r="AN235" s="6">
        <f>113/$AN$3</f>
        <v>0.48706896551724138</v>
      </c>
      <c r="AP235">
        <v>97</v>
      </c>
      <c r="AQ235" s="6">
        <f>AP235/AP238</f>
        <v>0.521505376344086</v>
      </c>
      <c r="AR235" s="6">
        <f>97/$AR$3</f>
        <v>0.521505376344086</v>
      </c>
      <c r="AT235">
        <v>58</v>
      </c>
      <c r="AU235" s="6">
        <f>AT235/AT238</f>
        <v>0.46774193548387094</v>
      </c>
      <c r="AV235" s="6">
        <f>58/$AV$3</f>
        <v>0.46774193548387094</v>
      </c>
      <c r="AX235">
        <v>221</v>
      </c>
      <c r="AY235" s="6">
        <f>AX235/AX238</f>
        <v>0.51395348837209298</v>
      </c>
      <c r="AZ235" s="6">
        <f>221/$AZ$3</f>
        <v>0.51395348837209298</v>
      </c>
      <c r="BB235">
        <v>221</v>
      </c>
      <c r="BC235" s="6">
        <f>BB235/BB238</f>
        <v>0.51635514018691586</v>
      </c>
      <c r="BD235" s="6">
        <f>221/$BD$3</f>
        <v>0.51635514018691586</v>
      </c>
      <c r="BF235">
        <v>127</v>
      </c>
      <c r="BG235" s="6">
        <f>BF235/BF238</f>
        <v>0.52479338842975209</v>
      </c>
      <c r="BH235" s="6">
        <f>127/$BH$3</f>
        <v>0.52479338842975209</v>
      </c>
      <c r="BJ235">
        <v>225</v>
      </c>
      <c r="BK235" s="6">
        <f>BJ235/BJ238</f>
        <v>0.55831265508684869</v>
      </c>
      <c r="BL235" s="6">
        <f>225/$BL$3</f>
        <v>0.55831265508684869</v>
      </c>
      <c r="BN235">
        <v>217</v>
      </c>
      <c r="BO235" s="6">
        <f>BN235/BN238</f>
        <v>0.51300236406619382</v>
      </c>
      <c r="BP235" s="6">
        <f>217/$BP$3</f>
        <v>0.51300236406619382</v>
      </c>
      <c r="BR235">
        <v>127</v>
      </c>
      <c r="BS235" s="6">
        <f>BR235/BR238</f>
        <v>0.46350364963503649</v>
      </c>
      <c r="BT235" s="8">
        <f>127/$BT$3</f>
        <v>0.46350364963503649</v>
      </c>
      <c r="BV235">
        <v>162</v>
      </c>
      <c r="BW235" s="6">
        <f>BV235/BV238</f>
        <v>0.5311475409836065</v>
      </c>
      <c r="BX235" s="6">
        <f>162/$BX$3</f>
        <v>0.5311475409836065</v>
      </c>
      <c r="BZ235">
        <v>113</v>
      </c>
      <c r="CA235" s="6">
        <f>BZ235/BZ238</f>
        <v>0.5044642857142857</v>
      </c>
      <c r="CB235" s="6">
        <f>113/$CB$3</f>
        <v>0.5044642857142857</v>
      </c>
      <c r="CD235">
        <v>126</v>
      </c>
      <c r="CE235" s="6">
        <f>CD235/CD238</f>
        <v>0.52282157676348551</v>
      </c>
      <c r="CF235" s="6">
        <f>126/$CF$3</f>
        <v>0.52282157676348551</v>
      </c>
      <c r="CH235">
        <v>168</v>
      </c>
      <c r="CI235" s="6">
        <f>CH235/CH238</f>
        <v>0.50909090909090904</v>
      </c>
      <c r="CJ235" s="6">
        <f>168/$CJ$3</f>
        <v>0.50909090909090904</v>
      </c>
    </row>
    <row r="237" spans="1:88" x14ac:dyDescent="0.35">
      <c r="A237" s="1" t="s">
        <v>409</v>
      </c>
      <c r="B237">
        <v>0</v>
      </c>
      <c r="C237" s="6">
        <f>B237/B238</f>
        <v>0</v>
      </c>
      <c r="D237" s="6">
        <f>0/$D$3</f>
        <v>0</v>
      </c>
      <c r="F237">
        <v>0</v>
      </c>
      <c r="G237" s="6">
        <f>F237/F238</f>
        <v>0</v>
      </c>
      <c r="H237" s="6">
        <f>0/$H$3</f>
        <v>0</v>
      </c>
      <c r="J237">
        <v>0</v>
      </c>
      <c r="K237" s="6">
        <f>J237/J238</f>
        <v>0</v>
      </c>
      <c r="L237" s="6">
        <f>0/$L$3</f>
        <v>0</v>
      </c>
      <c r="N237">
        <v>0</v>
      </c>
      <c r="O237" s="6">
        <f>N237/N238</f>
        <v>0</v>
      </c>
      <c r="P237" s="6">
        <f>0/$P$3</f>
        <v>0</v>
      </c>
      <c r="R237">
        <v>0</v>
      </c>
      <c r="S237" s="6">
        <f>R237/R238</f>
        <v>0</v>
      </c>
      <c r="T237" s="6">
        <f>0/$T$3</f>
        <v>0</v>
      </c>
      <c r="V237">
        <v>0</v>
      </c>
      <c r="W237" s="6">
        <f>V237/V238</f>
        <v>0</v>
      </c>
      <c r="X237" s="6">
        <f>0/$X$3</f>
        <v>0</v>
      </c>
      <c r="Z237">
        <v>0</v>
      </c>
      <c r="AA237" s="6">
        <f>Z237/Z238</f>
        <v>0</v>
      </c>
      <c r="AB237" s="6">
        <f>0/$AB$3</f>
        <v>0</v>
      </c>
      <c r="AD237">
        <v>0</v>
      </c>
      <c r="AE237" s="6">
        <f>AD237/AD238</f>
        <v>0</v>
      </c>
      <c r="AF237" s="6">
        <f>0/$AF$3</f>
        <v>0</v>
      </c>
      <c r="AH237">
        <v>0</v>
      </c>
      <c r="AI237" s="6">
        <f>AH237/AH238</f>
        <v>0</v>
      </c>
      <c r="AJ237" s="6">
        <f>0/$AJ$3</f>
        <v>0</v>
      </c>
      <c r="AL237">
        <v>0</v>
      </c>
      <c r="AM237" s="6">
        <f>AL237/AL238</f>
        <v>0</v>
      </c>
      <c r="AN237" s="6">
        <f>0/$AN$3</f>
        <v>0</v>
      </c>
      <c r="AP237">
        <v>0</v>
      </c>
      <c r="AQ237" s="6">
        <f>AP237/AP238</f>
        <v>0</v>
      </c>
      <c r="AR237" s="6">
        <f>0/$AR$3</f>
        <v>0</v>
      </c>
      <c r="AT237">
        <v>0</v>
      </c>
      <c r="AU237" s="6">
        <f>AT237/AT238</f>
        <v>0</v>
      </c>
      <c r="AV237" s="6">
        <f>0/$AV$3</f>
        <v>0</v>
      </c>
      <c r="AX237">
        <v>0</v>
      </c>
      <c r="AY237" s="6">
        <f>AX237/AX238</f>
        <v>0</v>
      </c>
      <c r="AZ237" s="6">
        <f>0/$AZ$3</f>
        <v>0</v>
      </c>
      <c r="BB237">
        <v>0</v>
      </c>
      <c r="BC237" s="6">
        <f>BB237/BB238</f>
        <v>0</v>
      </c>
      <c r="BD237" s="6">
        <f>0/$BD$3</f>
        <v>0</v>
      </c>
      <c r="BF237">
        <v>0</v>
      </c>
      <c r="BG237" s="6">
        <f>BF237/BF238</f>
        <v>0</v>
      </c>
      <c r="BH237" s="6">
        <f>0/$BH$3</f>
        <v>0</v>
      </c>
      <c r="BJ237">
        <v>0</v>
      </c>
      <c r="BK237" s="6">
        <f>BJ237/BJ238</f>
        <v>0</v>
      </c>
      <c r="BL237" s="6">
        <f>0/$BL$3</f>
        <v>0</v>
      </c>
      <c r="BN237">
        <v>0</v>
      </c>
      <c r="BO237" s="6">
        <f>BN237/BN238</f>
        <v>0</v>
      </c>
      <c r="BP237" s="6">
        <f>0/$BP$3</f>
        <v>0</v>
      </c>
      <c r="BR237">
        <v>0</v>
      </c>
      <c r="BS237" s="6">
        <f>BR237/BR238</f>
        <v>0</v>
      </c>
      <c r="BT237" s="6">
        <f>0/$BT$3</f>
        <v>0</v>
      </c>
      <c r="BV237">
        <v>0</v>
      </c>
      <c r="BW237" s="6">
        <f>BV237/BV238</f>
        <v>0</v>
      </c>
      <c r="BX237" s="6">
        <f>0/$BX$3</f>
        <v>0</v>
      </c>
      <c r="BZ237">
        <v>0</v>
      </c>
      <c r="CA237" s="6">
        <f>BZ237/BZ238</f>
        <v>0</v>
      </c>
      <c r="CB237" s="6">
        <f>0/$CB$3</f>
        <v>0</v>
      </c>
      <c r="CD237">
        <v>0</v>
      </c>
      <c r="CE237" s="6">
        <f>CD237/CD238</f>
        <v>0</v>
      </c>
      <c r="CF237" s="6">
        <f>0/$CF$3</f>
        <v>0</v>
      </c>
      <c r="CH237">
        <v>0</v>
      </c>
      <c r="CI237" s="6">
        <f>CH237/CH238</f>
        <v>0</v>
      </c>
      <c r="CJ237" s="6">
        <f>0/$CJ$3</f>
        <v>0</v>
      </c>
    </row>
    <row r="238" spans="1:88" s="10" customFormat="1" x14ac:dyDescent="0.35">
      <c r="A238" s="11" t="s">
        <v>411</v>
      </c>
      <c r="B238" s="10">
        <v>1100</v>
      </c>
      <c r="F238" s="10">
        <v>911</v>
      </c>
      <c r="J238" s="10">
        <v>434</v>
      </c>
      <c r="N238" s="10">
        <v>81</v>
      </c>
      <c r="R238" s="10">
        <v>560</v>
      </c>
      <c r="V238" s="10">
        <v>540</v>
      </c>
      <c r="Z238" s="10">
        <v>113</v>
      </c>
      <c r="AD238" s="10">
        <v>198</v>
      </c>
      <c r="AH238" s="10">
        <v>247</v>
      </c>
      <c r="AL238" s="10">
        <v>232</v>
      </c>
      <c r="AP238" s="10">
        <v>186</v>
      </c>
      <c r="AT238" s="10">
        <v>124</v>
      </c>
      <c r="AX238" s="10">
        <v>430</v>
      </c>
      <c r="BB238" s="10">
        <v>428</v>
      </c>
      <c r="BF238" s="10">
        <v>242</v>
      </c>
      <c r="BJ238" s="10">
        <v>403</v>
      </c>
      <c r="BN238" s="10">
        <v>423</v>
      </c>
      <c r="BR238" s="10">
        <v>274</v>
      </c>
      <c r="BV238" s="10">
        <v>305</v>
      </c>
      <c r="BZ238" s="10">
        <v>224</v>
      </c>
      <c r="CD238" s="10">
        <v>241</v>
      </c>
      <c r="CH238" s="10">
        <v>330</v>
      </c>
    </row>
    <row r="239" spans="1:88" hidden="1" x14ac:dyDescent="0.35">
      <c r="A239" s="12" t="s">
        <v>412</v>
      </c>
      <c r="B239">
        <v>0</v>
      </c>
      <c r="F239">
        <v>0</v>
      </c>
      <c r="J239">
        <v>0</v>
      </c>
      <c r="N239">
        <v>0</v>
      </c>
      <c r="R239">
        <v>0</v>
      </c>
      <c r="V239">
        <v>0</v>
      </c>
      <c r="Z239">
        <v>0</v>
      </c>
      <c r="AD239">
        <v>0</v>
      </c>
      <c r="AH239">
        <v>0</v>
      </c>
      <c r="AL239">
        <v>0</v>
      </c>
      <c r="AP239">
        <v>0</v>
      </c>
      <c r="AT239">
        <v>0</v>
      </c>
      <c r="AX239">
        <v>0</v>
      </c>
      <c r="BB239">
        <v>0</v>
      </c>
      <c r="BF239">
        <v>0</v>
      </c>
      <c r="BJ239">
        <v>0</v>
      </c>
      <c r="BN239">
        <v>0</v>
      </c>
      <c r="BR239">
        <v>0</v>
      </c>
      <c r="BV239">
        <v>0</v>
      </c>
      <c r="BZ239">
        <v>0</v>
      </c>
      <c r="CD239">
        <v>0</v>
      </c>
      <c r="CH239">
        <v>0</v>
      </c>
    </row>
    <row r="240" spans="1:88" hidden="1" x14ac:dyDescent="0.35">
      <c r="A240" s="12" t="s">
        <v>413</v>
      </c>
      <c r="B240">
        <v>0</v>
      </c>
      <c r="F240">
        <v>0</v>
      </c>
      <c r="J240">
        <v>0</v>
      </c>
      <c r="N240">
        <v>0</v>
      </c>
      <c r="R240">
        <v>0</v>
      </c>
      <c r="V240">
        <v>0</v>
      </c>
      <c r="Z240">
        <v>0</v>
      </c>
      <c r="AD240">
        <v>0</v>
      </c>
      <c r="AH240">
        <v>0</v>
      </c>
      <c r="AL240">
        <v>0</v>
      </c>
      <c r="AP240">
        <v>0</v>
      </c>
      <c r="AT240">
        <v>0</v>
      </c>
      <c r="AX240">
        <v>0</v>
      </c>
      <c r="BB240">
        <v>0</v>
      </c>
      <c r="BF240">
        <v>0</v>
      </c>
      <c r="BJ240">
        <v>0</v>
      </c>
      <c r="BN240">
        <v>0</v>
      </c>
      <c r="BR240">
        <v>0</v>
      </c>
      <c r="BV240">
        <v>0</v>
      </c>
      <c r="BZ240">
        <v>0</v>
      </c>
      <c r="CD240">
        <v>0</v>
      </c>
      <c r="CH240">
        <v>0</v>
      </c>
    </row>
    <row r="242" spans="1:88" x14ac:dyDescent="0.35">
      <c r="AB242" s="2" t="s">
        <v>3</v>
      </c>
      <c r="AF242" s="2" t="s">
        <v>4</v>
      </c>
      <c r="AJ242" s="2" t="s">
        <v>5</v>
      </c>
      <c r="AN242" s="2" t="s">
        <v>6</v>
      </c>
      <c r="AR242" s="2" t="s">
        <v>7</v>
      </c>
      <c r="AV242" s="2" t="s">
        <v>8</v>
      </c>
      <c r="AZ242" s="2" t="s">
        <v>3</v>
      </c>
      <c r="BD242" s="2" t="s">
        <v>4</v>
      </c>
      <c r="BH242" s="2" t="s">
        <v>5</v>
      </c>
      <c r="BL242" s="2" t="s">
        <v>3</v>
      </c>
      <c r="BP242" s="2" t="s">
        <v>4</v>
      </c>
      <c r="BT242" s="2" t="s">
        <v>5</v>
      </c>
      <c r="BX242" s="2" t="s">
        <v>3</v>
      </c>
      <c r="CB242" s="2" t="s">
        <v>4</v>
      </c>
      <c r="CF242" s="2" t="s">
        <v>5</v>
      </c>
      <c r="CJ242" s="2" t="s">
        <v>6</v>
      </c>
    </row>
    <row r="243" spans="1:88" s="3" customFormat="1" x14ac:dyDescent="0.35">
      <c r="A243" s="3" t="s">
        <v>562</v>
      </c>
      <c r="D243" s="5" t="s">
        <v>406</v>
      </c>
      <c r="H243" s="5" t="s">
        <v>406</v>
      </c>
      <c r="L243" s="5" t="s">
        <v>406</v>
      </c>
      <c r="P243" s="5" t="s">
        <v>406</v>
      </c>
      <c r="T243" s="5" t="s">
        <v>406</v>
      </c>
      <c r="X243" s="5" t="s">
        <v>406</v>
      </c>
      <c r="AB243" s="5" t="s">
        <v>406</v>
      </c>
      <c r="AF243" s="5" t="s">
        <v>406</v>
      </c>
      <c r="AJ243" s="5" t="s">
        <v>406</v>
      </c>
      <c r="AN243" s="5" t="s">
        <v>406</v>
      </c>
      <c r="AR243" s="5" t="s">
        <v>406</v>
      </c>
      <c r="AV243" s="5" t="s">
        <v>406</v>
      </c>
      <c r="AZ243" s="5" t="s">
        <v>406</v>
      </c>
      <c r="BD243" s="5" t="s">
        <v>406</v>
      </c>
      <c r="BH243" s="5" t="s">
        <v>406</v>
      </c>
      <c r="BL243" s="5" t="s">
        <v>406</v>
      </c>
      <c r="BP243" s="5" t="s">
        <v>406</v>
      </c>
      <c r="BT243" s="5" t="s">
        <v>406</v>
      </c>
      <c r="BX243" s="5" t="s">
        <v>406</v>
      </c>
      <c r="CB243" s="5" t="s">
        <v>406</v>
      </c>
      <c r="CF243" s="5" t="s">
        <v>406</v>
      </c>
      <c r="CJ243" s="5" t="s">
        <v>406</v>
      </c>
    </row>
    <row r="244" spans="1:88" x14ac:dyDescent="0.35">
      <c r="A244" s="1" t="s">
        <v>563</v>
      </c>
      <c r="B244">
        <v>162</v>
      </c>
      <c r="C244" s="6">
        <f>B244/B321</f>
        <v>0.14727272727272728</v>
      </c>
      <c r="D244" s="6">
        <f>162/$D$3</f>
        <v>0.14727272727272728</v>
      </c>
      <c r="F244">
        <v>147</v>
      </c>
      <c r="G244" s="6">
        <f>F244/F321</f>
        <v>0.16136114160263446</v>
      </c>
      <c r="H244" s="6">
        <f>147/$H$3</f>
        <v>0.16136114160263446</v>
      </c>
      <c r="J244">
        <v>92</v>
      </c>
      <c r="K244" s="6">
        <f>J244/J321</f>
        <v>0.2119815668202765</v>
      </c>
      <c r="L244" s="9">
        <f>92/$L$3</f>
        <v>0.2119815668202765</v>
      </c>
      <c r="N244">
        <v>12</v>
      </c>
      <c r="O244" s="6">
        <f>N244/N321</f>
        <v>0.14814814814814814</v>
      </c>
      <c r="P244" s="6">
        <f>12/$P$3</f>
        <v>0.14814814814814814</v>
      </c>
      <c r="R244">
        <v>77</v>
      </c>
      <c r="S244" s="6">
        <f>R244/R321</f>
        <v>0.13750000000000001</v>
      </c>
      <c r="T244" s="6">
        <f>77/$T$3</f>
        <v>0.13750000000000001</v>
      </c>
      <c r="V244">
        <v>85</v>
      </c>
      <c r="W244" s="6">
        <f>V244/V321</f>
        <v>0.15740740740740741</v>
      </c>
      <c r="X244" s="6">
        <f>85/$X$3</f>
        <v>0.15740740740740741</v>
      </c>
      <c r="Z244">
        <v>25</v>
      </c>
      <c r="AA244" s="6">
        <f>Z244/Z321</f>
        <v>0.22123893805309736</v>
      </c>
      <c r="AB244" s="9">
        <f>25/$AB$3</f>
        <v>0.22123893805309736</v>
      </c>
      <c r="AC244" s="7"/>
      <c r="AD244">
        <v>26</v>
      </c>
      <c r="AE244" s="6">
        <f>AD244/AD321</f>
        <v>0.13131313131313133</v>
      </c>
      <c r="AF244" s="6">
        <f>26/$AF$3</f>
        <v>0.13131313131313133</v>
      </c>
      <c r="AH244">
        <v>35</v>
      </c>
      <c r="AI244" s="6">
        <f>AH244/AH321</f>
        <v>0.1417004048582996</v>
      </c>
      <c r="AJ244" s="6">
        <f>35/$AJ$3</f>
        <v>0.1417004048582996</v>
      </c>
      <c r="AL244">
        <v>39</v>
      </c>
      <c r="AM244" s="6">
        <f>AL244/AL321</f>
        <v>0.16810344827586207</v>
      </c>
      <c r="AN244" s="6">
        <f>39/$AN$3</f>
        <v>0.16810344827586207</v>
      </c>
      <c r="AP244">
        <v>26</v>
      </c>
      <c r="AQ244" s="6">
        <f>AP244/AP321</f>
        <v>0.13978494623655913</v>
      </c>
      <c r="AR244" s="6">
        <f>26/$AR$3</f>
        <v>0.13978494623655913</v>
      </c>
      <c r="AT244">
        <v>11</v>
      </c>
      <c r="AU244" s="6">
        <f>AT244/AT321</f>
        <v>8.8709677419354843E-2</v>
      </c>
      <c r="AV244" s="6">
        <f>11/$AV$3</f>
        <v>8.8709677419354843E-2</v>
      </c>
      <c r="AX244">
        <v>88</v>
      </c>
      <c r="AY244" s="6">
        <f>AX244/AX321</f>
        <v>0.20465116279069767</v>
      </c>
      <c r="AZ244" s="9">
        <f>88/$AZ$3</f>
        <v>0.20465116279069767</v>
      </c>
      <c r="BA244" s="7" t="s">
        <v>410</v>
      </c>
      <c r="BB244">
        <v>51</v>
      </c>
      <c r="BC244" s="6">
        <f>BB244/BB321</f>
        <v>0.1191588785046729</v>
      </c>
      <c r="BD244" s="6">
        <f>51/$BD$3</f>
        <v>0.1191588785046729</v>
      </c>
      <c r="BF244">
        <v>23</v>
      </c>
      <c r="BG244" s="6">
        <f>BF244/BF321</f>
        <v>9.5041322314049589E-2</v>
      </c>
      <c r="BH244" s="8">
        <f>23/$BH$3</f>
        <v>9.5041322314049589E-2</v>
      </c>
      <c r="BJ244">
        <v>58</v>
      </c>
      <c r="BK244" s="6">
        <f>BJ244/BJ321</f>
        <v>0.14392059553349876</v>
      </c>
      <c r="BL244" s="6">
        <f>58/$BL$3</f>
        <v>0.14392059553349876</v>
      </c>
      <c r="BN244">
        <v>63</v>
      </c>
      <c r="BO244" s="6">
        <f>BN244/BN321</f>
        <v>0.14893617021276595</v>
      </c>
      <c r="BP244" s="6">
        <f>63/$BP$3</f>
        <v>0.14893617021276595</v>
      </c>
      <c r="BR244">
        <v>41</v>
      </c>
      <c r="BS244" s="6">
        <f>BR244/BR321</f>
        <v>0.14963503649635038</v>
      </c>
      <c r="BT244" s="6">
        <f>41/$BT$3</f>
        <v>0.14963503649635038</v>
      </c>
      <c r="BV244">
        <v>41</v>
      </c>
      <c r="BW244" s="6">
        <f>BV244/BV321</f>
        <v>0.13442622950819672</v>
      </c>
      <c r="BX244" s="6">
        <f>41/$BX$3</f>
        <v>0.13442622950819672</v>
      </c>
      <c r="BZ244">
        <v>36</v>
      </c>
      <c r="CA244" s="6">
        <f>BZ244/BZ321</f>
        <v>0.16071428571428573</v>
      </c>
      <c r="CB244" s="6">
        <f>36/$CB$3</f>
        <v>0.16071428571428573</v>
      </c>
      <c r="CD244">
        <v>44</v>
      </c>
      <c r="CE244" s="6">
        <f>CD244/CD321</f>
        <v>0.18257261410788381</v>
      </c>
      <c r="CF244" s="6">
        <f>44/$CF$3</f>
        <v>0.18257261410788381</v>
      </c>
      <c r="CH244">
        <v>41</v>
      </c>
      <c r="CI244" s="6">
        <f>CH244/CH321</f>
        <v>0.12424242424242424</v>
      </c>
      <c r="CJ244" s="6">
        <f>41/$CJ$3</f>
        <v>0.12424242424242424</v>
      </c>
    </row>
    <row r="245" spans="1:88" x14ac:dyDescent="0.35">
      <c r="A245" s="1" t="s">
        <v>564</v>
      </c>
      <c r="B245">
        <v>458</v>
      </c>
      <c r="C245" s="6">
        <f>B245/B321</f>
        <v>0.41636363636363638</v>
      </c>
      <c r="D245" s="6">
        <f>458/$D$3</f>
        <v>0.41636363636363638</v>
      </c>
      <c r="F245">
        <v>395</v>
      </c>
      <c r="G245" s="6">
        <f>F245/F321</f>
        <v>0.43358946212952798</v>
      </c>
      <c r="H245" s="6">
        <f>395/$H$3</f>
        <v>0.43358946212952798</v>
      </c>
      <c r="J245">
        <v>207</v>
      </c>
      <c r="K245" s="6">
        <f>J245/J321</f>
        <v>0.47695852534562211</v>
      </c>
      <c r="L245" s="9">
        <f>207/$L$3</f>
        <v>0.47695852534562211</v>
      </c>
      <c r="N245">
        <v>36</v>
      </c>
      <c r="O245" s="6">
        <f>N245/N321</f>
        <v>0.44444444444444442</v>
      </c>
      <c r="P245" s="6">
        <f>36/$P$3</f>
        <v>0.44444444444444442</v>
      </c>
      <c r="R245">
        <v>226</v>
      </c>
      <c r="S245" s="6">
        <f>R245/R321</f>
        <v>0.40357142857142858</v>
      </c>
      <c r="T245" s="6">
        <f>226/$T$3</f>
        <v>0.40357142857142858</v>
      </c>
      <c r="V245">
        <v>232</v>
      </c>
      <c r="W245" s="6">
        <f>V245/V321</f>
        <v>0.42962962962962964</v>
      </c>
      <c r="X245" s="6">
        <f>232/$X$3</f>
        <v>0.42962962962962964</v>
      </c>
      <c r="Z245">
        <v>52</v>
      </c>
      <c r="AA245" s="6">
        <f>Z245/Z321</f>
        <v>0.46017699115044247</v>
      </c>
      <c r="AB245" s="6">
        <f>52/$AB$3</f>
        <v>0.46017699115044247</v>
      </c>
      <c r="AD245">
        <v>97</v>
      </c>
      <c r="AE245" s="6">
        <f>AD245/AD321</f>
        <v>0.48989898989898989</v>
      </c>
      <c r="AF245" s="9">
        <f>97/$AF$3</f>
        <v>0.48989898989898989</v>
      </c>
      <c r="AG245" s="7"/>
      <c r="AH245">
        <v>111</v>
      </c>
      <c r="AI245" s="6">
        <f>AH245/AH321</f>
        <v>0.44939271255060731</v>
      </c>
      <c r="AJ245" s="6">
        <f>111/$AJ$3</f>
        <v>0.44939271255060731</v>
      </c>
      <c r="AK245" s="7"/>
      <c r="AL245">
        <v>99</v>
      </c>
      <c r="AM245" s="6">
        <f>AL245/AL321</f>
        <v>0.42672413793103448</v>
      </c>
      <c r="AN245" s="6">
        <f>99/$AN$3</f>
        <v>0.42672413793103448</v>
      </c>
      <c r="AP245">
        <v>59</v>
      </c>
      <c r="AQ245" s="6">
        <f>AP245/AP321</f>
        <v>0.31720430107526881</v>
      </c>
      <c r="AR245" s="8">
        <f>59/$AR$3</f>
        <v>0.31720430107526881</v>
      </c>
      <c r="AT245">
        <v>40</v>
      </c>
      <c r="AU245" s="6">
        <f>AT245/AT321</f>
        <v>0.32258064516129031</v>
      </c>
      <c r="AV245" s="8">
        <f>40/$AV$3</f>
        <v>0.32258064516129031</v>
      </c>
      <c r="AX245">
        <v>181</v>
      </c>
      <c r="AY245" s="6">
        <f>AX245/AX321</f>
        <v>0.42093023255813955</v>
      </c>
      <c r="AZ245" s="6">
        <f>181/$AZ$3</f>
        <v>0.42093023255813955</v>
      </c>
      <c r="BB245">
        <v>175</v>
      </c>
      <c r="BC245" s="6">
        <f>BB245/BB321</f>
        <v>0.40887850467289721</v>
      </c>
      <c r="BD245" s="6">
        <f>175/$BD$3</f>
        <v>0.40887850467289721</v>
      </c>
      <c r="BF245">
        <v>102</v>
      </c>
      <c r="BG245" s="6">
        <f>BF245/BF321</f>
        <v>0.42148760330578511</v>
      </c>
      <c r="BH245" s="6">
        <f>102/$BH$3</f>
        <v>0.42148760330578511</v>
      </c>
      <c r="BJ245">
        <v>172</v>
      </c>
      <c r="BK245" s="6">
        <f>BJ245/BJ321</f>
        <v>0.42679900744416871</v>
      </c>
      <c r="BL245" s="6">
        <f>172/$BL$3</f>
        <v>0.42679900744416871</v>
      </c>
      <c r="BN245">
        <v>173</v>
      </c>
      <c r="BO245" s="6">
        <f>BN245/BN321</f>
        <v>0.40898345153664301</v>
      </c>
      <c r="BP245" s="6">
        <f>173/$BP$3</f>
        <v>0.40898345153664301</v>
      </c>
      <c r="BR245">
        <v>113</v>
      </c>
      <c r="BS245" s="6">
        <f>BR245/BR321</f>
        <v>0.41240875912408759</v>
      </c>
      <c r="BT245" s="6">
        <f>113/$BT$3</f>
        <v>0.41240875912408759</v>
      </c>
      <c r="BV245">
        <v>125</v>
      </c>
      <c r="BW245" s="6">
        <f>BV245/BV321</f>
        <v>0.4098360655737705</v>
      </c>
      <c r="BX245" s="6">
        <f>125/$BX$3</f>
        <v>0.4098360655737705</v>
      </c>
      <c r="BZ245">
        <v>102</v>
      </c>
      <c r="CA245" s="6">
        <f>BZ245/BZ321</f>
        <v>0.45535714285714285</v>
      </c>
      <c r="CB245" s="6">
        <f>102/$CB$3</f>
        <v>0.45535714285714285</v>
      </c>
      <c r="CD245">
        <v>92</v>
      </c>
      <c r="CE245" s="6">
        <f>CD245/CD321</f>
        <v>0.38174273858921159</v>
      </c>
      <c r="CF245" s="6">
        <f>92/$CF$3</f>
        <v>0.38174273858921159</v>
      </c>
      <c r="CH245">
        <v>139</v>
      </c>
      <c r="CI245" s="6">
        <f>CH245/CH321</f>
        <v>0.4212121212121212</v>
      </c>
      <c r="CJ245" s="6">
        <f>139/$CJ$3</f>
        <v>0.4212121212121212</v>
      </c>
    </row>
    <row r="246" spans="1:88" x14ac:dyDescent="0.35">
      <c r="A246" s="1" t="s">
        <v>565</v>
      </c>
      <c r="B246">
        <v>339</v>
      </c>
      <c r="C246" s="6">
        <f>B246/B321</f>
        <v>0.30818181818181817</v>
      </c>
      <c r="D246" s="6">
        <f>339/$D$3</f>
        <v>0.30818181818181817</v>
      </c>
      <c r="F246">
        <v>286</v>
      </c>
      <c r="G246" s="6">
        <f>F246/F321</f>
        <v>0.31394072447859495</v>
      </c>
      <c r="H246" s="6">
        <f>286/$H$3</f>
        <v>0.31394072447859495</v>
      </c>
      <c r="J246">
        <v>123</v>
      </c>
      <c r="K246" s="6">
        <f>J246/J321</f>
        <v>0.28341013824884792</v>
      </c>
      <c r="L246" s="6">
        <f>123/$L$3</f>
        <v>0.28341013824884792</v>
      </c>
      <c r="N246">
        <v>27</v>
      </c>
      <c r="O246" s="6">
        <f>N246/N321</f>
        <v>0.33333333333333331</v>
      </c>
      <c r="P246" s="6">
        <f>27/$P$3</f>
        <v>0.33333333333333331</v>
      </c>
      <c r="R246">
        <v>182</v>
      </c>
      <c r="S246" s="6">
        <f>R246/R321</f>
        <v>0.32500000000000001</v>
      </c>
      <c r="T246" s="6">
        <f>182/$T$3</f>
        <v>0.32500000000000001</v>
      </c>
      <c r="V246">
        <v>157</v>
      </c>
      <c r="W246" s="6">
        <f>V246/V321</f>
        <v>0.29074074074074074</v>
      </c>
      <c r="X246" s="6">
        <f>157/$X$3</f>
        <v>0.29074074074074074</v>
      </c>
      <c r="Z246">
        <v>31</v>
      </c>
      <c r="AA246" s="6">
        <f>Z246/Z321</f>
        <v>0.27433628318584069</v>
      </c>
      <c r="AB246" s="6">
        <f>31/$AB$3</f>
        <v>0.27433628318584069</v>
      </c>
      <c r="AD246">
        <v>54</v>
      </c>
      <c r="AE246" s="6">
        <f>AD246/AD321</f>
        <v>0.27272727272727271</v>
      </c>
      <c r="AF246" s="6">
        <f>54/$AF$3</f>
        <v>0.27272727272727271</v>
      </c>
      <c r="AH246">
        <v>72</v>
      </c>
      <c r="AI246" s="6">
        <f>AH246/AH321</f>
        <v>0.291497975708502</v>
      </c>
      <c r="AJ246" s="6">
        <f>72/$AJ$3</f>
        <v>0.291497975708502</v>
      </c>
      <c r="AL246">
        <v>65</v>
      </c>
      <c r="AM246" s="6">
        <f>AL246/AL321</f>
        <v>0.28017241379310343</v>
      </c>
      <c r="AN246" s="6">
        <f>65/$AN$3</f>
        <v>0.28017241379310343</v>
      </c>
      <c r="AP246">
        <v>66</v>
      </c>
      <c r="AQ246" s="6">
        <f>AP246/AP321</f>
        <v>0.35483870967741937</v>
      </c>
      <c r="AR246" s="6">
        <f>66/$AR$3</f>
        <v>0.35483870967741937</v>
      </c>
      <c r="AT246">
        <v>51</v>
      </c>
      <c r="AU246" s="6">
        <f>AT246/AT321</f>
        <v>0.41129032258064518</v>
      </c>
      <c r="AV246" s="9">
        <f>51/$AV$3</f>
        <v>0.41129032258064518</v>
      </c>
      <c r="AX246">
        <v>115</v>
      </c>
      <c r="AY246" s="6">
        <f>AX246/AX321</f>
        <v>0.26744186046511625</v>
      </c>
      <c r="AZ246" s="6">
        <f>115/$AZ$3</f>
        <v>0.26744186046511625</v>
      </c>
      <c r="BB246">
        <v>149</v>
      </c>
      <c r="BC246" s="6">
        <f>BB246/BB321</f>
        <v>0.34813084112149534</v>
      </c>
      <c r="BD246" s="6">
        <f>149/$BD$3</f>
        <v>0.34813084112149534</v>
      </c>
      <c r="BF246">
        <v>75</v>
      </c>
      <c r="BG246" s="6">
        <f>BF246/BF321</f>
        <v>0.30991735537190085</v>
      </c>
      <c r="BH246" s="6">
        <f>75/$BH$3</f>
        <v>0.30991735537190085</v>
      </c>
      <c r="BJ246">
        <v>117</v>
      </c>
      <c r="BK246" s="6">
        <f>BJ246/BJ321</f>
        <v>0.29032258064516131</v>
      </c>
      <c r="BL246" s="6">
        <f>117/$BL$3</f>
        <v>0.29032258064516131</v>
      </c>
      <c r="BN246">
        <v>137</v>
      </c>
      <c r="BO246" s="6">
        <f>BN246/BN321</f>
        <v>0.32387706855791965</v>
      </c>
      <c r="BP246" s="6">
        <f>137/$BP$3</f>
        <v>0.32387706855791965</v>
      </c>
      <c r="BR246">
        <v>85</v>
      </c>
      <c r="BS246" s="6">
        <f>BR246/BR321</f>
        <v>0.31021897810218979</v>
      </c>
      <c r="BT246" s="6">
        <f>85/$BT$3</f>
        <v>0.31021897810218979</v>
      </c>
      <c r="BV246">
        <v>101</v>
      </c>
      <c r="BW246" s="6">
        <f>BV246/BV321</f>
        <v>0.33114754098360655</v>
      </c>
      <c r="BX246" s="6">
        <f>101/$BX$3</f>
        <v>0.33114754098360655</v>
      </c>
      <c r="BZ246">
        <v>59</v>
      </c>
      <c r="CA246" s="6">
        <f>BZ246/BZ321</f>
        <v>0.26339285714285715</v>
      </c>
      <c r="CB246" s="6">
        <f>59/$CB$3</f>
        <v>0.26339285714285715</v>
      </c>
      <c r="CD246">
        <v>71</v>
      </c>
      <c r="CE246" s="6">
        <f>CD246/CD321</f>
        <v>0.29460580912863071</v>
      </c>
      <c r="CF246" s="6">
        <f>71/$CF$3</f>
        <v>0.29460580912863071</v>
      </c>
      <c r="CH246">
        <v>108</v>
      </c>
      <c r="CI246" s="6">
        <f>CH246/CH321</f>
        <v>0.32727272727272727</v>
      </c>
      <c r="CJ246" s="6">
        <f>108/$CJ$3</f>
        <v>0.32727272727272727</v>
      </c>
    </row>
    <row r="247" spans="1:88" x14ac:dyDescent="0.35">
      <c r="A247" s="1" t="s">
        <v>566</v>
      </c>
      <c r="B247">
        <v>141</v>
      </c>
      <c r="C247" s="6">
        <f>B247/B321</f>
        <v>0.12818181818181817</v>
      </c>
      <c r="D247" s="6">
        <f>141/$D$3</f>
        <v>0.12818181818181817</v>
      </c>
      <c r="F247">
        <v>83</v>
      </c>
      <c r="G247" s="6">
        <f>F247/F321</f>
        <v>9.110867178924259E-2</v>
      </c>
      <c r="H247" s="6">
        <f>83/$H$3</f>
        <v>9.110867178924259E-2</v>
      </c>
      <c r="J247">
        <v>12</v>
      </c>
      <c r="K247" s="6">
        <f>J247/J321</f>
        <v>2.7649769585253458E-2</v>
      </c>
      <c r="L247" s="8">
        <f>12/$L$3</f>
        <v>2.7649769585253458E-2</v>
      </c>
      <c r="N247">
        <v>6</v>
      </c>
      <c r="O247" s="6">
        <f>N247/N321</f>
        <v>7.407407407407407E-2</v>
      </c>
      <c r="P247" s="6">
        <f>6/$P$3</f>
        <v>7.407407407407407E-2</v>
      </c>
      <c r="R247">
        <v>75</v>
      </c>
      <c r="S247" s="6">
        <f>R247/R321</f>
        <v>0.13392857142857142</v>
      </c>
      <c r="T247" s="6">
        <f>75/$T$3</f>
        <v>0.13392857142857142</v>
      </c>
      <c r="V247">
        <v>66</v>
      </c>
      <c r="W247" s="6">
        <f>V247/V321</f>
        <v>0.12222222222222222</v>
      </c>
      <c r="X247" s="6">
        <f>66/$X$3</f>
        <v>0.12222222222222222</v>
      </c>
      <c r="Z247">
        <v>5</v>
      </c>
      <c r="AA247" s="6">
        <f>Z247/Z321</f>
        <v>4.4247787610619468E-2</v>
      </c>
      <c r="AB247" s="8">
        <f>5/$AB$3</f>
        <v>4.4247787610619468E-2</v>
      </c>
      <c r="AD247">
        <v>21</v>
      </c>
      <c r="AE247" s="6">
        <f>AD247/AD321</f>
        <v>0.10606060606060606</v>
      </c>
      <c r="AF247" s="6">
        <f>21/$AF$3</f>
        <v>0.10606060606060606</v>
      </c>
      <c r="AH247">
        <v>29</v>
      </c>
      <c r="AI247" s="6">
        <f>AH247/AH321</f>
        <v>0.11740890688259109</v>
      </c>
      <c r="AJ247" s="6">
        <f>29/$AJ$3</f>
        <v>0.11740890688259109</v>
      </c>
      <c r="AL247">
        <v>29</v>
      </c>
      <c r="AM247" s="6">
        <f>AL247/AL321</f>
        <v>0.125</v>
      </c>
      <c r="AN247" s="6">
        <f>29/$AN$3</f>
        <v>0.125</v>
      </c>
      <c r="AO247" s="7"/>
      <c r="AP247">
        <v>35</v>
      </c>
      <c r="AQ247" s="6">
        <f>AP247/AP321</f>
        <v>0.18817204301075269</v>
      </c>
      <c r="AR247" s="9">
        <f>35/$AR$3</f>
        <v>0.18817204301075269</v>
      </c>
      <c r="AS247" s="7"/>
      <c r="AT247">
        <v>22</v>
      </c>
      <c r="AU247" s="6">
        <f>AT247/AT321</f>
        <v>0.17741935483870969</v>
      </c>
      <c r="AV247" s="6">
        <f>22/$AV$3</f>
        <v>0.17741935483870969</v>
      </c>
      <c r="AW247" s="7"/>
      <c r="AX247">
        <v>46</v>
      </c>
      <c r="AY247" s="6">
        <f>AX247/AX321</f>
        <v>0.10697674418604651</v>
      </c>
      <c r="AZ247" s="6">
        <f>46/$AZ$3</f>
        <v>0.10697674418604651</v>
      </c>
      <c r="BB247">
        <v>53</v>
      </c>
      <c r="BC247" s="6">
        <f>BB247/BB321</f>
        <v>0.12383177570093458</v>
      </c>
      <c r="BD247" s="6">
        <f>53/$BD$3</f>
        <v>0.12383177570093458</v>
      </c>
      <c r="BF247">
        <v>42</v>
      </c>
      <c r="BG247" s="6">
        <f>BF247/BF321</f>
        <v>0.17355371900826447</v>
      </c>
      <c r="BH247" s="6">
        <f>42/$BH$3</f>
        <v>0.17355371900826447</v>
      </c>
      <c r="BJ247">
        <v>56</v>
      </c>
      <c r="BK247" s="6">
        <f>BJ247/BJ321</f>
        <v>0.13895781637717122</v>
      </c>
      <c r="BL247" s="6">
        <f>56/$BL$3</f>
        <v>0.13895781637717122</v>
      </c>
      <c r="BN247">
        <v>50</v>
      </c>
      <c r="BO247" s="6">
        <f>BN247/BN321</f>
        <v>0.1182033096926714</v>
      </c>
      <c r="BP247" s="6">
        <f>50/$BP$3</f>
        <v>0.1182033096926714</v>
      </c>
      <c r="BR247">
        <v>35</v>
      </c>
      <c r="BS247" s="6">
        <f>BR247/BR321</f>
        <v>0.12773722627737227</v>
      </c>
      <c r="BT247" s="6">
        <f>35/$BT$3</f>
        <v>0.12773722627737227</v>
      </c>
      <c r="BV247">
        <v>38</v>
      </c>
      <c r="BW247" s="6">
        <f>BV247/BV321</f>
        <v>0.12459016393442623</v>
      </c>
      <c r="BX247" s="6">
        <f>38/$BX$3</f>
        <v>0.12459016393442623</v>
      </c>
      <c r="BZ247">
        <v>27</v>
      </c>
      <c r="CA247" s="6">
        <f>BZ247/BZ321</f>
        <v>0.12053571428571429</v>
      </c>
      <c r="CB247" s="6">
        <f>27/$CB$3</f>
        <v>0.12053571428571429</v>
      </c>
      <c r="CD247">
        <v>34</v>
      </c>
      <c r="CE247" s="6">
        <f>CD247/CD321</f>
        <v>0.14107883817427386</v>
      </c>
      <c r="CF247" s="6">
        <f>34/$CF$3</f>
        <v>0.14107883817427386</v>
      </c>
      <c r="CH247">
        <v>42</v>
      </c>
      <c r="CI247" s="6">
        <f>CH247/CH321</f>
        <v>0.12727272727272726</v>
      </c>
      <c r="CJ247" s="6">
        <f>42/$CJ$3</f>
        <v>0.12727272727272726</v>
      </c>
    </row>
    <row r="249" spans="1:88" x14ac:dyDescent="0.35">
      <c r="A249" s="1" t="s">
        <v>567</v>
      </c>
      <c r="B249">
        <v>446</v>
      </c>
      <c r="C249" s="6">
        <f>B249/B321</f>
        <v>0.40545454545454546</v>
      </c>
      <c r="D249" s="6">
        <f>446/$D$3</f>
        <v>0.40545454545454546</v>
      </c>
      <c r="F249">
        <v>407</v>
      </c>
      <c r="G249" s="6">
        <f>F249/F321</f>
        <v>0.44676180021953898</v>
      </c>
      <c r="H249" s="6">
        <f>407/$H$3</f>
        <v>0.44676180021953898</v>
      </c>
      <c r="J249">
        <v>249</v>
      </c>
      <c r="K249" s="6">
        <f>J249/J321</f>
        <v>0.57373271889400923</v>
      </c>
      <c r="L249" s="9">
        <f>249/$L$3</f>
        <v>0.57373271889400923</v>
      </c>
      <c r="N249">
        <v>34</v>
      </c>
      <c r="O249" s="6">
        <f>N249/N321</f>
        <v>0.41975308641975306</v>
      </c>
      <c r="P249" s="6">
        <f>34/$P$3</f>
        <v>0.41975308641975306</v>
      </c>
      <c r="R249">
        <v>234</v>
      </c>
      <c r="S249" s="6">
        <f>R249/R321</f>
        <v>0.41785714285714287</v>
      </c>
      <c r="T249" s="6">
        <f>234/$T$3</f>
        <v>0.41785714285714287</v>
      </c>
      <c r="V249">
        <v>212</v>
      </c>
      <c r="W249" s="6">
        <f>V249/V321</f>
        <v>0.3925925925925926</v>
      </c>
      <c r="X249" s="6">
        <f>212/$X$3</f>
        <v>0.3925925925925926</v>
      </c>
      <c r="Z249">
        <v>45</v>
      </c>
      <c r="AA249" s="6">
        <f>Z249/Z321</f>
        <v>0.39823008849557523</v>
      </c>
      <c r="AB249" s="6">
        <f>45/$AB$3</f>
        <v>0.39823008849557523</v>
      </c>
      <c r="AD249">
        <v>80</v>
      </c>
      <c r="AE249" s="6">
        <f>AD249/AD321</f>
        <v>0.40404040404040403</v>
      </c>
      <c r="AF249" s="6">
        <f>80/$AF$3</f>
        <v>0.40404040404040403</v>
      </c>
      <c r="AH249">
        <v>115</v>
      </c>
      <c r="AI249" s="6">
        <f>AH249/AH321</f>
        <v>0.46558704453441296</v>
      </c>
      <c r="AJ249" s="9">
        <f>115/$AJ$3</f>
        <v>0.46558704453441296</v>
      </c>
      <c r="AK249" s="7"/>
      <c r="AL249">
        <v>112</v>
      </c>
      <c r="AM249" s="6">
        <f>AL249/AL321</f>
        <v>0.48275862068965519</v>
      </c>
      <c r="AN249" s="9">
        <f>112/$AN$3</f>
        <v>0.48275862068965519</v>
      </c>
      <c r="AO249" s="7"/>
      <c r="AP249">
        <v>60</v>
      </c>
      <c r="AQ249" s="6">
        <f>AP249/AP321</f>
        <v>0.32258064516129031</v>
      </c>
      <c r="AR249" s="8">
        <f>60/$AR$3</f>
        <v>0.32258064516129031</v>
      </c>
      <c r="AT249">
        <v>34</v>
      </c>
      <c r="AU249" s="6">
        <f>AT249/AT321</f>
        <v>0.27419354838709675</v>
      </c>
      <c r="AV249" s="8">
        <f>34/$AV$3</f>
        <v>0.27419354838709675</v>
      </c>
      <c r="AX249">
        <v>172</v>
      </c>
      <c r="AY249" s="6">
        <f>AX249/AX321</f>
        <v>0.4</v>
      </c>
      <c r="AZ249" s="6">
        <f>172/$AZ$3</f>
        <v>0.4</v>
      </c>
      <c r="BB249">
        <v>186</v>
      </c>
      <c r="BC249" s="6">
        <f>BB249/BB321</f>
        <v>0.43457943925233644</v>
      </c>
      <c r="BD249" s="6">
        <f>186/$BD$3</f>
        <v>0.43457943925233644</v>
      </c>
      <c r="BF249">
        <v>88</v>
      </c>
      <c r="BG249" s="6">
        <f>BF249/BF321</f>
        <v>0.36363636363636365</v>
      </c>
      <c r="BH249" s="6">
        <f>88/$BH$3</f>
        <v>0.36363636363636365</v>
      </c>
      <c r="BJ249">
        <v>156</v>
      </c>
      <c r="BK249" s="6">
        <f>BJ249/BJ321</f>
        <v>0.38709677419354838</v>
      </c>
      <c r="BL249" s="6">
        <f>156/$BL$3</f>
        <v>0.38709677419354838</v>
      </c>
      <c r="BN249">
        <v>174</v>
      </c>
      <c r="BO249" s="6">
        <f>BN249/BN321</f>
        <v>0.41134751773049644</v>
      </c>
      <c r="BP249" s="6">
        <f>174/$BP$3</f>
        <v>0.41134751773049644</v>
      </c>
      <c r="BR249">
        <v>116</v>
      </c>
      <c r="BS249" s="6">
        <f>BR249/BR321</f>
        <v>0.42335766423357662</v>
      </c>
      <c r="BT249" s="6">
        <f>116/$BT$3</f>
        <v>0.42335766423357662</v>
      </c>
      <c r="BV249">
        <v>110</v>
      </c>
      <c r="BW249" s="6">
        <f>BV249/BV321</f>
        <v>0.36065573770491804</v>
      </c>
      <c r="BX249" s="6">
        <f>110/$BX$3</f>
        <v>0.36065573770491804</v>
      </c>
      <c r="BZ249">
        <v>101</v>
      </c>
      <c r="CA249" s="6">
        <f>BZ249/BZ321</f>
        <v>0.45089285714285715</v>
      </c>
      <c r="CB249" s="6">
        <f>101/$CB$3</f>
        <v>0.45089285714285715</v>
      </c>
      <c r="CD249">
        <v>104</v>
      </c>
      <c r="CE249" s="6">
        <f>CD249/CD321</f>
        <v>0.43153526970954359</v>
      </c>
      <c r="CF249" s="6">
        <f>104/$CF$3</f>
        <v>0.43153526970954359</v>
      </c>
      <c r="CH249">
        <v>131</v>
      </c>
      <c r="CI249" s="6">
        <f>CH249/CH321</f>
        <v>0.39696969696969697</v>
      </c>
      <c r="CJ249" s="6">
        <f>131/$CJ$3</f>
        <v>0.39696969696969697</v>
      </c>
    </row>
    <row r="250" spans="1:88" x14ac:dyDescent="0.35">
      <c r="A250" s="1" t="s">
        <v>504</v>
      </c>
      <c r="B250">
        <v>389</v>
      </c>
      <c r="C250" s="6">
        <f>B250/B321</f>
        <v>0.35363636363636364</v>
      </c>
      <c r="D250" s="6">
        <f>389/$D$3</f>
        <v>0.35363636363636364</v>
      </c>
      <c r="F250">
        <v>331</v>
      </c>
      <c r="G250" s="6">
        <f>F250/F321</f>
        <v>0.36333699231613609</v>
      </c>
      <c r="H250" s="6">
        <f>331/$H$3</f>
        <v>0.36333699231613609</v>
      </c>
      <c r="J250">
        <v>142</v>
      </c>
      <c r="K250" s="6">
        <f>J250/J321</f>
        <v>0.32718894009216593</v>
      </c>
      <c r="L250" s="6">
        <f>142/$L$3</f>
        <v>0.32718894009216593</v>
      </c>
      <c r="N250">
        <v>29</v>
      </c>
      <c r="O250" s="6">
        <f>N250/N321</f>
        <v>0.35802469135802467</v>
      </c>
      <c r="P250" s="6">
        <f>29/$P$3</f>
        <v>0.35802469135802467</v>
      </c>
      <c r="R250">
        <v>187</v>
      </c>
      <c r="S250" s="6">
        <f>R250/R321</f>
        <v>0.33392857142857141</v>
      </c>
      <c r="T250" s="6">
        <f>187/$T$3</f>
        <v>0.33392857142857141</v>
      </c>
      <c r="V250">
        <v>202</v>
      </c>
      <c r="W250" s="6">
        <f>V250/V321</f>
        <v>0.37407407407407406</v>
      </c>
      <c r="X250" s="6">
        <f>202/$X$3</f>
        <v>0.37407407407407406</v>
      </c>
      <c r="Z250">
        <v>52</v>
      </c>
      <c r="AA250" s="6">
        <f>Z250/Z321</f>
        <v>0.46017699115044247</v>
      </c>
      <c r="AB250" s="9">
        <f>52/$AB$3</f>
        <v>0.46017699115044247</v>
      </c>
      <c r="AC250" s="7"/>
      <c r="AD250">
        <v>86</v>
      </c>
      <c r="AE250" s="6">
        <f>AD250/AD321</f>
        <v>0.43434343434343436</v>
      </c>
      <c r="AF250" s="9">
        <f>86/$AF$3</f>
        <v>0.43434343434343436</v>
      </c>
      <c r="AG250" s="7"/>
      <c r="AH250">
        <v>84</v>
      </c>
      <c r="AI250" s="6">
        <f>AH250/AH321</f>
        <v>0.34008097165991902</v>
      </c>
      <c r="AJ250" s="6">
        <f>84/$AJ$3</f>
        <v>0.34008097165991902</v>
      </c>
      <c r="AL250">
        <v>71</v>
      </c>
      <c r="AM250" s="6">
        <f>AL250/AL321</f>
        <v>0.30603448275862066</v>
      </c>
      <c r="AN250" s="6">
        <f>71/$AN$3</f>
        <v>0.30603448275862066</v>
      </c>
      <c r="AP250">
        <v>55</v>
      </c>
      <c r="AQ250" s="6">
        <f>AP250/AP321</f>
        <v>0.29569892473118281</v>
      </c>
      <c r="AR250" s="6">
        <f>55/$AR$3</f>
        <v>0.29569892473118281</v>
      </c>
      <c r="AT250">
        <v>41</v>
      </c>
      <c r="AU250" s="6">
        <f>AT250/AT321</f>
        <v>0.33064516129032256</v>
      </c>
      <c r="AV250" s="6">
        <f>41/$AV$3</f>
        <v>0.33064516129032256</v>
      </c>
      <c r="AX250">
        <v>169</v>
      </c>
      <c r="AY250" s="6">
        <f>AX250/AX321</f>
        <v>0.39302325581395348</v>
      </c>
      <c r="AZ250" s="6">
        <f>169/$AZ$3</f>
        <v>0.39302325581395348</v>
      </c>
      <c r="BB250">
        <v>143</v>
      </c>
      <c r="BC250" s="6">
        <f>BB250/BB321</f>
        <v>0.33411214953271029</v>
      </c>
      <c r="BD250" s="6">
        <f>143/$BD$3</f>
        <v>0.33411214953271029</v>
      </c>
      <c r="BF250">
        <v>77</v>
      </c>
      <c r="BG250" s="6">
        <f>BF250/BF321</f>
        <v>0.31818181818181818</v>
      </c>
      <c r="BH250" s="6">
        <f>77/$BH$3</f>
        <v>0.31818181818181818</v>
      </c>
      <c r="BJ250">
        <v>143</v>
      </c>
      <c r="BK250" s="6">
        <f>BJ250/BJ321</f>
        <v>0.35483870967741937</v>
      </c>
      <c r="BL250" s="6">
        <f>143/$BL$3</f>
        <v>0.35483870967741937</v>
      </c>
      <c r="BN250">
        <v>152</v>
      </c>
      <c r="BO250" s="6">
        <f>BN250/BN321</f>
        <v>0.35933806146572106</v>
      </c>
      <c r="BP250" s="6">
        <f>152/$BP$3</f>
        <v>0.35933806146572106</v>
      </c>
      <c r="BR250">
        <v>94</v>
      </c>
      <c r="BS250" s="6">
        <f>BR250/BR321</f>
        <v>0.34306569343065696</v>
      </c>
      <c r="BT250" s="6">
        <f>94/$BT$3</f>
        <v>0.34306569343065696</v>
      </c>
      <c r="BV250">
        <v>121</v>
      </c>
      <c r="BW250" s="6">
        <f>BV250/BV321</f>
        <v>0.39672131147540984</v>
      </c>
      <c r="BX250" s="6">
        <f>121/$BX$3</f>
        <v>0.39672131147540984</v>
      </c>
      <c r="BZ250">
        <v>76</v>
      </c>
      <c r="CA250" s="6">
        <f>BZ250/BZ321</f>
        <v>0.3392857142857143</v>
      </c>
      <c r="CB250" s="6">
        <f>76/$CB$3</f>
        <v>0.3392857142857143</v>
      </c>
      <c r="CD250">
        <v>77</v>
      </c>
      <c r="CE250" s="6">
        <f>CD250/CD321</f>
        <v>0.31950207468879666</v>
      </c>
      <c r="CF250" s="6">
        <f>77/$CF$3</f>
        <v>0.31950207468879666</v>
      </c>
      <c r="CH250">
        <v>115</v>
      </c>
      <c r="CI250" s="6">
        <f>CH250/CH321</f>
        <v>0.34848484848484851</v>
      </c>
      <c r="CJ250" s="6">
        <f>115/$CJ$3</f>
        <v>0.34848484848484851</v>
      </c>
    </row>
    <row r="251" spans="1:88" x14ac:dyDescent="0.35">
      <c r="A251" s="1" t="s">
        <v>568</v>
      </c>
      <c r="B251">
        <v>52</v>
      </c>
      <c r="C251" s="6">
        <f>B251/B321</f>
        <v>4.7272727272727272E-2</v>
      </c>
      <c r="D251" s="6">
        <f>52/$D$3</f>
        <v>4.7272727272727272E-2</v>
      </c>
      <c r="F251">
        <v>39</v>
      </c>
      <c r="G251" s="6">
        <f>F251/F321</f>
        <v>4.2810098792535674E-2</v>
      </c>
      <c r="H251" s="6">
        <f>39/$H$3</f>
        <v>4.2810098792535674E-2</v>
      </c>
      <c r="J251">
        <v>12</v>
      </c>
      <c r="K251" s="6">
        <f>J251/J321</f>
        <v>2.7649769585253458E-2</v>
      </c>
      <c r="L251" s="6">
        <f>12/$L$3</f>
        <v>2.7649769585253458E-2</v>
      </c>
      <c r="N251">
        <v>7</v>
      </c>
      <c r="O251" s="6">
        <f>N251/N321</f>
        <v>8.6419753086419748E-2</v>
      </c>
      <c r="P251" s="6">
        <f>7/$P$3</f>
        <v>8.6419753086419748E-2</v>
      </c>
      <c r="R251">
        <v>25</v>
      </c>
      <c r="S251" s="6">
        <f>R251/R321</f>
        <v>4.4642857142857144E-2</v>
      </c>
      <c r="T251" s="6">
        <f>25/$T$3</f>
        <v>4.4642857142857144E-2</v>
      </c>
      <c r="V251">
        <v>27</v>
      </c>
      <c r="W251" s="6">
        <f>V251/V321</f>
        <v>0.05</v>
      </c>
      <c r="X251" s="6">
        <f>27/$X$3</f>
        <v>0.05</v>
      </c>
      <c r="Z251">
        <v>7</v>
      </c>
      <c r="AA251" s="6">
        <f>Z251/Z321</f>
        <v>6.1946902654867256E-2</v>
      </c>
      <c r="AB251" s="6">
        <f>7/$AB$3</f>
        <v>6.1946902654867256E-2</v>
      </c>
      <c r="AD251">
        <v>5</v>
      </c>
      <c r="AE251" s="6">
        <f>AD251/AD321</f>
        <v>2.5252525252525252E-2</v>
      </c>
      <c r="AF251" s="6">
        <f>5/$AF$3</f>
        <v>2.5252525252525252E-2</v>
      </c>
      <c r="AH251">
        <v>13</v>
      </c>
      <c r="AI251" s="6">
        <f>AH251/AH321</f>
        <v>5.2631578947368418E-2</v>
      </c>
      <c r="AJ251" s="6">
        <f>13/$AJ$3</f>
        <v>5.2631578947368418E-2</v>
      </c>
      <c r="AL251">
        <v>10</v>
      </c>
      <c r="AM251" s="6">
        <f>AL251/AL321</f>
        <v>4.3103448275862072E-2</v>
      </c>
      <c r="AN251" s="6">
        <f>10/$AN$3</f>
        <v>4.3103448275862072E-2</v>
      </c>
      <c r="AP251">
        <v>9</v>
      </c>
      <c r="AQ251" s="6">
        <f>AP251/AP321</f>
        <v>4.8387096774193547E-2</v>
      </c>
      <c r="AR251" s="6">
        <f>9/$AR$3</f>
        <v>4.8387096774193547E-2</v>
      </c>
      <c r="AT251">
        <v>8</v>
      </c>
      <c r="AU251" s="6">
        <f>AT251/AT321</f>
        <v>6.4516129032258063E-2</v>
      </c>
      <c r="AV251" s="6">
        <f>8/$AV$3</f>
        <v>6.4516129032258063E-2</v>
      </c>
      <c r="AX251">
        <v>16</v>
      </c>
      <c r="AY251" s="6">
        <f>AX251/AX321</f>
        <v>3.7209302325581395E-2</v>
      </c>
      <c r="AZ251" s="6">
        <f>16/$AZ$3</f>
        <v>3.7209302325581395E-2</v>
      </c>
      <c r="BB251">
        <v>24</v>
      </c>
      <c r="BC251" s="6">
        <f>BB251/BB321</f>
        <v>5.6074766355140186E-2</v>
      </c>
      <c r="BD251" s="6">
        <f>24/$BD$3</f>
        <v>5.6074766355140186E-2</v>
      </c>
      <c r="BF251">
        <v>12</v>
      </c>
      <c r="BG251" s="6">
        <f>BF251/BF321</f>
        <v>4.9586776859504134E-2</v>
      </c>
      <c r="BH251" s="6">
        <f>12/$BH$3</f>
        <v>4.9586776859504134E-2</v>
      </c>
      <c r="BJ251">
        <v>26</v>
      </c>
      <c r="BK251" s="6">
        <f>BJ251/BJ321</f>
        <v>6.4516129032258063E-2</v>
      </c>
      <c r="BL251" s="6">
        <f>26/$BL$3</f>
        <v>6.4516129032258063E-2</v>
      </c>
      <c r="BN251">
        <v>15</v>
      </c>
      <c r="BO251" s="6">
        <f>BN251/BN321</f>
        <v>3.5460992907801421E-2</v>
      </c>
      <c r="BP251" s="6">
        <f>15/$BP$3</f>
        <v>3.5460992907801421E-2</v>
      </c>
      <c r="BR251">
        <v>11</v>
      </c>
      <c r="BS251" s="6">
        <f>BR251/BR321</f>
        <v>4.0145985401459854E-2</v>
      </c>
      <c r="BT251" s="6">
        <f>11/$BT$3</f>
        <v>4.0145985401459854E-2</v>
      </c>
      <c r="BV251">
        <v>18</v>
      </c>
      <c r="BW251" s="6">
        <f>BV251/BV321</f>
        <v>5.9016393442622953E-2</v>
      </c>
      <c r="BX251" s="6">
        <f>18/$BX$3</f>
        <v>5.9016393442622953E-2</v>
      </c>
      <c r="BZ251">
        <v>12</v>
      </c>
      <c r="CA251" s="6">
        <f>BZ251/BZ321</f>
        <v>5.3571428571428568E-2</v>
      </c>
      <c r="CB251" s="6">
        <f>12/$CB$3</f>
        <v>5.3571428571428568E-2</v>
      </c>
      <c r="CD251">
        <v>9</v>
      </c>
      <c r="CE251" s="6">
        <f>CD251/CD321</f>
        <v>3.7344398340248962E-2</v>
      </c>
      <c r="CF251" s="6">
        <f>9/$CF$3</f>
        <v>3.7344398340248962E-2</v>
      </c>
      <c r="CH251">
        <v>13</v>
      </c>
      <c r="CI251" s="6">
        <f>CH251/CH321</f>
        <v>3.9393939393939391E-2</v>
      </c>
      <c r="CJ251" s="6">
        <f>13/$CJ$3</f>
        <v>3.9393939393939391E-2</v>
      </c>
    </row>
    <row r="252" spans="1:88" x14ac:dyDescent="0.35">
      <c r="A252" s="1" t="s">
        <v>569</v>
      </c>
      <c r="B252">
        <v>213</v>
      </c>
      <c r="C252" s="6">
        <f>B252/B321</f>
        <v>0.19363636363636363</v>
      </c>
      <c r="D252" s="6">
        <f>213/$D$3</f>
        <v>0.19363636363636363</v>
      </c>
      <c r="F252">
        <v>134</v>
      </c>
      <c r="G252" s="6">
        <f>F252/F321</f>
        <v>0.14709110867178923</v>
      </c>
      <c r="H252" s="6">
        <f>134/$H$3</f>
        <v>0.14709110867178923</v>
      </c>
      <c r="J252">
        <v>31</v>
      </c>
      <c r="K252" s="6">
        <f>J252/J321</f>
        <v>7.1428571428571425E-2</v>
      </c>
      <c r="L252" s="8">
        <f>31/$L$3</f>
        <v>7.1428571428571425E-2</v>
      </c>
      <c r="N252">
        <v>11</v>
      </c>
      <c r="O252" s="6">
        <f>N252/N321</f>
        <v>0.13580246913580246</v>
      </c>
      <c r="P252" s="6">
        <f>11/$P$3</f>
        <v>0.13580246913580246</v>
      </c>
      <c r="R252">
        <v>114</v>
      </c>
      <c r="S252" s="6">
        <f>R252/R321</f>
        <v>0.20357142857142857</v>
      </c>
      <c r="T252" s="6">
        <f>114/$T$3</f>
        <v>0.20357142857142857</v>
      </c>
      <c r="V252">
        <v>99</v>
      </c>
      <c r="W252" s="6">
        <f>V252/V321</f>
        <v>0.18333333333333332</v>
      </c>
      <c r="X252" s="6">
        <f>99/$X$3</f>
        <v>0.18333333333333332</v>
      </c>
      <c r="Z252">
        <v>9</v>
      </c>
      <c r="AA252" s="6">
        <f>Z252/Z321</f>
        <v>7.9646017699115043E-2</v>
      </c>
      <c r="AB252" s="8">
        <f>9/$AB$3</f>
        <v>7.9646017699115043E-2</v>
      </c>
      <c r="AD252">
        <v>27</v>
      </c>
      <c r="AE252" s="6">
        <f>AD252/AD321</f>
        <v>0.13636363636363635</v>
      </c>
      <c r="AF252" s="8">
        <f>27/$AF$3</f>
        <v>0.13636363636363635</v>
      </c>
      <c r="AH252">
        <v>35</v>
      </c>
      <c r="AI252" s="6">
        <f>AH252/AH321</f>
        <v>0.1417004048582996</v>
      </c>
      <c r="AJ252" s="8">
        <f>35/$AJ$3</f>
        <v>0.1417004048582996</v>
      </c>
      <c r="AL252">
        <v>39</v>
      </c>
      <c r="AM252" s="6">
        <f>AL252/AL321</f>
        <v>0.16810344827586207</v>
      </c>
      <c r="AN252" s="6">
        <f>39/$AN$3</f>
        <v>0.16810344827586207</v>
      </c>
      <c r="AP252">
        <v>62</v>
      </c>
      <c r="AQ252" s="6">
        <f>AP252/AP321</f>
        <v>0.33333333333333331</v>
      </c>
      <c r="AR252" s="9">
        <f>62/$AR$3</f>
        <v>0.33333333333333331</v>
      </c>
      <c r="AS252" s="7"/>
      <c r="AT252">
        <v>41</v>
      </c>
      <c r="AU252" s="6">
        <f>AT252/AT321</f>
        <v>0.33064516129032256</v>
      </c>
      <c r="AV252" s="9">
        <f>41/$AV$3</f>
        <v>0.33064516129032256</v>
      </c>
      <c r="AW252" s="7"/>
      <c r="AX252">
        <v>73</v>
      </c>
      <c r="AY252" s="6">
        <f>AX252/AX321</f>
        <v>0.16976744186046511</v>
      </c>
      <c r="AZ252" s="6">
        <f>73/$AZ$3</f>
        <v>0.16976744186046511</v>
      </c>
      <c r="BB252">
        <v>75</v>
      </c>
      <c r="BC252" s="6">
        <f>BB252/BB321</f>
        <v>0.17523364485981308</v>
      </c>
      <c r="BD252" s="6">
        <f>75/$BD$3</f>
        <v>0.17523364485981308</v>
      </c>
      <c r="BF252">
        <v>65</v>
      </c>
      <c r="BG252" s="6">
        <f>BF252/BF321</f>
        <v>0.26859504132231404</v>
      </c>
      <c r="BH252" s="9">
        <f>65/$BH$3</f>
        <v>0.26859504132231404</v>
      </c>
      <c r="BI252" s="7" t="s">
        <v>408</v>
      </c>
      <c r="BJ252">
        <v>78</v>
      </c>
      <c r="BK252" s="6">
        <f>BJ252/BJ321</f>
        <v>0.19354838709677419</v>
      </c>
      <c r="BL252" s="6">
        <f>78/$BL$3</f>
        <v>0.19354838709677419</v>
      </c>
      <c r="BN252">
        <v>82</v>
      </c>
      <c r="BO252" s="6">
        <f>BN252/BN321</f>
        <v>0.19385342789598109</v>
      </c>
      <c r="BP252" s="6">
        <f>82/$BP$3</f>
        <v>0.19385342789598109</v>
      </c>
      <c r="BR252">
        <v>53</v>
      </c>
      <c r="BS252" s="6">
        <f>BR252/BR321</f>
        <v>0.19343065693430658</v>
      </c>
      <c r="BT252" s="6">
        <f>53/$BT$3</f>
        <v>0.19343065693430658</v>
      </c>
      <c r="BV252">
        <v>56</v>
      </c>
      <c r="BW252" s="6">
        <f>BV252/BV321</f>
        <v>0.18360655737704917</v>
      </c>
      <c r="BX252" s="6">
        <f>56/$BX$3</f>
        <v>0.18360655737704917</v>
      </c>
      <c r="BZ252">
        <v>35</v>
      </c>
      <c r="CA252" s="6">
        <f>BZ252/BZ321</f>
        <v>0.15625</v>
      </c>
      <c r="CB252" s="6">
        <f>35/$CB$3</f>
        <v>0.15625</v>
      </c>
      <c r="CD252">
        <v>51</v>
      </c>
      <c r="CE252" s="6">
        <f>CD252/CD321</f>
        <v>0.21161825726141079</v>
      </c>
      <c r="CF252" s="6">
        <f>51/$CF$3</f>
        <v>0.21161825726141079</v>
      </c>
      <c r="CH252">
        <v>71</v>
      </c>
      <c r="CI252" s="6">
        <f>CH252/CH321</f>
        <v>0.21515151515151515</v>
      </c>
      <c r="CJ252" s="6">
        <f>71/$CJ$3</f>
        <v>0.21515151515151515</v>
      </c>
    </row>
    <row r="254" spans="1:88" x14ac:dyDescent="0.35">
      <c r="A254" s="1" t="s">
        <v>570</v>
      </c>
      <c r="B254">
        <v>420</v>
      </c>
      <c r="C254" s="6">
        <f>B254/B321</f>
        <v>0.38181818181818183</v>
      </c>
      <c r="D254" s="6">
        <f>420/$D$3</f>
        <v>0.38181818181818183</v>
      </c>
      <c r="F254">
        <v>380</v>
      </c>
      <c r="G254" s="6">
        <f>F254/F321</f>
        <v>0.41712403951701427</v>
      </c>
      <c r="H254" s="6">
        <f>380/$H$3</f>
        <v>0.41712403951701427</v>
      </c>
      <c r="J254">
        <v>220</v>
      </c>
      <c r="K254" s="6">
        <f>J254/J321</f>
        <v>0.50691244239631339</v>
      </c>
      <c r="L254" s="9">
        <f>220/$L$3</f>
        <v>0.50691244239631339</v>
      </c>
      <c r="N254">
        <v>32</v>
      </c>
      <c r="O254" s="6">
        <f>N254/N321</f>
        <v>0.39506172839506171</v>
      </c>
      <c r="P254" s="6">
        <f>32/$P$3</f>
        <v>0.39506172839506171</v>
      </c>
      <c r="R254">
        <v>219</v>
      </c>
      <c r="S254" s="6">
        <f>R254/R321</f>
        <v>0.39107142857142857</v>
      </c>
      <c r="T254" s="6">
        <f>219/$T$3</f>
        <v>0.39107142857142857</v>
      </c>
      <c r="V254">
        <v>201</v>
      </c>
      <c r="W254" s="6">
        <f>V254/V321</f>
        <v>0.37222222222222223</v>
      </c>
      <c r="X254" s="6">
        <f>201/$X$3</f>
        <v>0.37222222222222223</v>
      </c>
      <c r="Z254">
        <v>45</v>
      </c>
      <c r="AA254" s="6">
        <f>Z254/Z321</f>
        <v>0.39823008849557523</v>
      </c>
      <c r="AB254" s="6">
        <f>45/$AB$3</f>
        <v>0.39823008849557523</v>
      </c>
      <c r="AD254">
        <v>87</v>
      </c>
      <c r="AE254" s="6">
        <f>AD254/AD321</f>
        <v>0.43939393939393939</v>
      </c>
      <c r="AF254" s="6">
        <f>87/$AF$3</f>
        <v>0.43939393939393939</v>
      </c>
      <c r="AG254" s="7"/>
      <c r="AH254">
        <v>99</v>
      </c>
      <c r="AI254" s="6">
        <f>AH254/AH321</f>
        <v>0.40080971659919029</v>
      </c>
      <c r="AJ254" s="6">
        <f>99/$AJ$3</f>
        <v>0.40080971659919029</v>
      </c>
      <c r="AL254">
        <v>87</v>
      </c>
      <c r="AM254" s="6">
        <f>AL254/AL321</f>
        <v>0.375</v>
      </c>
      <c r="AN254" s="6">
        <f>87/$AN$3</f>
        <v>0.375</v>
      </c>
      <c r="AP254">
        <v>69</v>
      </c>
      <c r="AQ254" s="6">
        <f>AP254/AP321</f>
        <v>0.37096774193548387</v>
      </c>
      <c r="AR254" s="6">
        <f>69/$AR$3</f>
        <v>0.37096774193548387</v>
      </c>
      <c r="AT254">
        <v>33</v>
      </c>
      <c r="AU254" s="6">
        <f>AT254/AT321</f>
        <v>0.2661290322580645</v>
      </c>
      <c r="AV254" s="8">
        <f>33/$AV$3</f>
        <v>0.2661290322580645</v>
      </c>
      <c r="AX254">
        <v>167</v>
      </c>
      <c r="AY254" s="6">
        <f>AX254/AX321</f>
        <v>0.38837209302325582</v>
      </c>
      <c r="AZ254" s="6">
        <f>167/$AZ$3</f>
        <v>0.38837209302325582</v>
      </c>
      <c r="BB254">
        <v>163</v>
      </c>
      <c r="BC254" s="6">
        <f>BB254/BB321</f>
        <v>0.38084112149532712</v>
      </c>
      <c r="BD254" s="6">
        <f>163/$BD$3</f>
        <v>0.38084112149532712</v>
      </c>
      <c r="BF254">
        <v>90</v>
      </c>
      <c r="BG254" s="6">
        <f>BF254/BF321</f>
        <v>0.37190082644628097</v>
      </c>
      <c r="BH254" s="6">
        <f>90/$BH$3</f>
        <v>0.37190082644628097</v>
      </c>
      <c r="BJ254">
        <v>138</v>
      </c>
      <c r="BK254" s="6">
        <f>BJ254/BJ321</f>
        <v>0.34243176178660051</v>
      </c>
      <c r="BL254" s="6">
        <f>138/$BL$3</f>
        <v>0.34243176178660051</v>
      </c>
      <c r="BN254">
        <v>163</v>
      </c>
      <c r="BO254" s="6">
        <f>BN254/BN321</f>
        <v>0.38534278959810875</v>
      </c>
      <c r="BP254" s="6">
        <f>163/$BP$3</f>
        <v>0.38534278959810875</v>
      </c>
      <c r="BR254">
        <v>119</v>
      </c>
      <c r="BS254" s="6">
        <f>BR254/BR321</f>
        <v>0.43430656934306572</v>
      </c>
      <c r="BT254" s="9">
        <f>119/$BT$3</f>
        <v>0.43430656934306572</v>
      </c>
      <c r="BV254">
        <v>102</v>
      </c>
      <c r="BW254" s="6">
        <f>BV254/BV321</f>
        <v>0.33442622950819673</v>
      </c>
      <c r="BX254" s="6">
        <f>102/$BX$3</f>
        <v>0.33442622950819673</v>
      </c>
      <c r="BZ254">
        <v>92</v>
      </c>
      <c r="CA254" s="6">
        <f>BZ254/BZ321</f>
        <v>0.4107142857142857</v>
      </c>
      <c r="CB254" s="6">
        <f>92/$CB$3</f>
        <v>0.4107142857142857</v>
      </c>
      <c r="CD254">
        <v>100</v>
      </c>
      <c r="CE254" s="6">
        <f>CD254/CD321</f>
        <v>0.41493775933609961</v>
      </c>
      <c r="CF254" s="6">
        <f>100/$CF$3</f>
        <v>0.41493775933609961</v>
      </c>
      <c r="CH254">
        <v>126</v>
      </c>
      <c r="CI254" s="6">
        <f>CH254/CH321</f>
        <v>0.38181818181818183</v>
      </c>
      <c r="CJ254" s="6">
        <f>126/$CJ$3</f>
        <v>0.38181818181818183</v>
      </c>
    </row>
    <row r="255" spans="1:88" x14ac:dyDescent="0.35">
      <c r="A255" s="1" t="s">
        <v>571</v>
      </c>
      <c r="B255">
        <v>418</v>
      </c>
      <c r="C255" s="6">
        <f>B255/B321</f>
        <v>0.38</v>
      </c>
      <c r="D255" s="6">
        <f>418/$D$3</f>
        <v>0.38</v>
      </c>
      <c r="F255">
        <v>354</v>
      </c>
      <c r="G255" s="6">
        <f>F255/F321</f>
        <v>0.38858397365532382</v>
      </c>
      <c r="H255" s="6">
        <f>354/$H$3</f>
        <v>0.38858397365532382</v>
      </c>
      <c r="J255">
        <v>156</v>
      </c>
      <c r="K255" s="6">
        <f>J255/J321</f>
        <v>0.35944700460829493</v>
      </c>
      <c r="L255" s="6">
        <f>156/$L$3</f>
        <v>0.35944700460829493</v>
      </c>
      <c r="N255">
        <v>34</v>
      </c>
      <c r="O255" s="6">
        <f>N255/N321</f>
        <v>0.41975308641975306</v>
      </c>
      <c r="P255" s="6">
        <f>34/$P$3</f>
        <v>0.41975308641975306</v>
      </c>
      <c r="R255">
        <v>205</v>
      </c>
      <c r="S255" s="6">
        <f>R255/R321</f>
        <v>0.36607142857142855</v>
      </c>
      <c r="T255" s="6">
        <f>205/$T$3</f>
        <v>0.36607142857142855</v>
      </c>
      <c r="V255">
        <v>213</v>
      </c>
      <c r="W255" s="6">
        <f>V255/V321</f>
        <v>0.39444444444444443</v>
      </c>
      <c r="X255" s="6">
        <f>213/$X$3</f>
        <v>0.39444444444444443</v>
      </c>
      <c r="Z255">
        <v>56</v>
      </c>
      <c r="AA255" s="6">
        <f>Z255/Z321</f>
        <v>0.49557522123893805</v>
      </c>
      <c r="AB255" s="9">
        <f>56/$AB$3</f>
        <v>0.49557522123893805</v>
      </c>
      <c r="AC255" s="7"/>
      <c r="AD255">
        <v>74</v>
      </c>
      <c r="AE255" s="6">
        <f>AD255/AD321</f>
        <v>0.37373737373737376</v>
      </c>
      <c r="AF255" s="6">
        <f>74/$AF$3</f>
        <v>0.37373737373737376</v>
      </c>
      <c r="AH255">
        <v>92</v>
      </c>
      <c r="AI255" s="6">
        <f>AH255/AH321</f>
        <v>0.37246963562753038</v>
      </c>
      <c r="AJ255" s="6">
        <f>92/$AJ$3</f>
        <v>0.37246963562753038</v>
      </c>
      <c r="AL255">
        <v>93</v>
      </c>
      <c r="AM255" s="6">
        <f>AL255/AL321</f>
        <v>0.40086206896551724</v>
      </c>
      <c r="AN255" s="6">
        <f>93/$AN$3</f>
        <v>0.40086206896551724</v>
      </c>
      <c r="AP255">
        <v>54</v>
      </c>
      <c r="AQ255" s="6">
        <f>AP255/AP321</f>
        <v>0.29032258064516131</v>
      </c>
      <c r="AR255" s="8">
        <f>54/$AR$3</f>
        <v>0.29032258064516131</v>
      </c>
      <c r="AT255">
        <v>49</v>
      </c>
      <c r="AU255" s="6">
        <f>AT255/AT321</f>
        <v>0.39516129032258063</v>
      </c>
      <c r="AV255" s="6">
        <f>49/$AV$3</f>
        <v>0.39516129032258063</v>
      </c>
      <c r="AX255">
        <v>157</v>
      </c>
      <c r="AY255" s="6">
        <f>AX255/AX321</f>
        <v>0.36511627906976746</v>
      </c>
      <c r="AZ255" s="6">
        <f>157/$AZ$3</f>
        <v>0.36511627906976746</v>
      </c>
      <c r="BB255">
        <v>170</v>
      </c>
      <c r="BC255" s="6">
        <f>BB255/BB321</f>
        <v>0.39719626168224298</v>
      </c>
      <c r="BD255" s="6">
        <f>170/$BD$3</f>
        <v>0.39719626168224298</v>
      </c>
      <c r="BF255">
        <v>91</v>
      </c>
      <c r="BG255" s="6">
        <f>BF255/BF321</f>
        <v>0.37603305785123969</v>
      </c>
      <c r="BH255" s="6">
        <f>91/$BH$3</f>
        <v>0.37603305785123969</v>
      </c>
      <c r="BJ255">
        <v>162</v>
      </c>
      <c r="BK255" s="6">
        <f>BJ255/BJ321</f>
        <v>0.40198511166253104</v>
      </c>
      <c r="BL255" s="6">
        <f>162/$BL$3</f>
        <v>0.40198511166253104</v>
      </c>
      <c r="BN255">
        <v>160</v>
      </c>
      <c r="BO255" s="6">
        <f>BN255/BN321</f>
        <v>0.37825059101654845</v>
      </c>
      <c r="BP255" s="6">
        <f>160/$BP$3</f>
        <v>0.37825059101654845</v>
      </c>
      <c r="BR255">
        <v>96</v>
      </c>
      <c r="BS255" s="6">
        <f>BR255/BR321</f>
        <v>0.35036496350364965</v>
      </c>
      <c r="BT255" s="6">
        <f>96/$BT$3</f>
        <v>0.35036496350364965</v>
      </c>
      <c r="BV255">
        <v>127</v>
      </c>
      <c r="BW255" s="6">
        <f>BV255/BV321</f>
        <v>0.4163934426229508</v>
      </c>
      <c r="BX255" s="6">
        <f>127/$BX$3</f>
        <v>0.4163934426229508</v>
      </c>
      <c r="BZ255">
        <v>85</v>
      </c>
      <c r="CA255" s="6">
        <f>BZ255/BZ321</f>
        <v>0.3794642857142857</v>
      </c>
      <c r="CB255" s="6">
        <f>85/$CB$3</f>
        <v>0.3794642857142857</v>
      </c>
      <c r="CD255">
        <v>83</v>
      </c>
      <c r="CE255" s="6">
        <f>CD255/CD321</f>
        <v>0.34439834024896265</v>
      </c>
      <c r="CF255" s="6">
        <f>83/$CF$3</f>
        <v>0.34439834024896265</v>
      </c>
      <c r="CH255">
        <v>123</v>
      </c>
      <c r="CI255" s="6">
        <f>CH255/CH321</f>
        <v>0.37272727272727274</v>
      </c>
      <c r="CJ255" s="6">
        <f>123/$CJ$3</f>
        <v>0.37272727272727274</v>
      </c>
    </row>
    <row r="256" spans="1:88" x14ac:dyDescent="0.35">
      <c r="A256" s="1" t="s">
        <v>572</v>
      </c>
      <c r="B256">
        <v>70</v>
      </c>
      <c r="C256" s="6">
        <f>B256/B321</f>
        <v>6.363636363636363E-2</v>
      </c>
      <c r="D256" s="6">
        <f>70/$D$3</f>
        <v>6.363636363636363E-2</v>
      </c>
      <c r="F256">
        <v>59</v>
      </c>
      <c r="G256" s="6">
        <f>F256/F321</f>
        <v>6.4763995609220637E-2</v>
      </c>
      <c r="H256" s="6">
        <f>59/$H$3</f>
        <v>6.4763995609220637E-2</v>
      </c>
      <c r="J256">
        <v>26</v>
      </c>
      <c r="K256" s="6">
        <f>J256/J321</f>
        <v>5.9907834101382486E-2</v>
      </c>
      <c r="L256" s="6">
        <f>26/$L$3</f>
        <v>5.9907834101382486E-2</v>
      </c>
      <c r="N256">
        <v>4</v>
      </c>
      <c r="O256" s="6">
        <f>N256/N321</f>
        <v>4.9382716049382713E-2</v>
      </c>
      <c r="P256" s="6">
        <f>4/$P$3</f>
        <v>4.9382716049382713E-2</v>
      </c>
      <c r="R256">
        <v>35</v>
      </c>
      <c r="S256" s="6">
        <f>R256/R321</f>
        <v>6.25E-2</v>
      </c>
      <c r="T256" s="6">
        <f>35/$T$3</f>
        <v>6.25E-2</v>
      </c>
      <c r="V256">
        <v>35</v>
      </c>
      <c r="W256" s="6">
        <f>V256/V321</f>
        <v>6.4814814814814811E-2</v>
      </c>
      <c r="X256" s="6">
        <f>35/$X$3</f>
        <v>6.4814814814814811E-2</v>
      </c>
      <c r="Z256">
        <v>5</v>
      </c>
      <c r="AA256" s="6">
        <f>Z256/Z321</f>
        <v>4.4247787610619468E-2</v>
      </c>
      <c r="AB256" s="6">
        <f>5/$AB$3</f>
        <v>4.4247787610619468E-2</v>
      </c>
      <c r="AD256">
        <v>16</v>
      </c>
      <c r="AE256" s="6">
        <f>AD256/AD321</f>
        <v>8.0808080808080815E-2</v>
      </c>
      <c r="AF256" s="6">
        <f>16/$AF$3</f>
        <v>8.0808080808080815E-2</v>
      </c>
      <c r="AH256">
        <v>17</v>
      </c>
      <c r="AI256" s="6">
        <f>AH256/AH321</f>
        <v>6.8825910931174086E-2</v>
      </c>
      <c r="AJ256" s="6">
        <f>17/$AJ$3</f>
        <v>6.8825910931174086E-2</v>
      </c>
      <c r="AL256">
        <v>12</v>
      </c>
      <c r="AM256" s="6">
        <f>AL256/AL321</f>
        <v>5.1724137931034482E-2</v>
      </c>
      <c r="AN256" s="6">
        <f>12/$AN$3</f>
        <v>5.1724137931034482E-2</v>
      </c>
      <c r="AP256">
        <v>11</v>
      </c>
      <c r="AQ256" s="6">
        <f>AP256/AP321</f>
        <v>5.9139784946236562E-2</v>
      </c>
      <c r="AR256" s="6">
        <f>11/$AR$3</f>
        <v>5.9139784946236562E-2</v>
      </c>
      <c r="AT256">
        <v>9</v>
      </c>
      <c r="AU256" s="6">
        <f>AT256/AT321</f>
        <v>7.2580645161290328E-2</v>
      </c>
      <c r="AV256" s="6">
        <f>9/$AV$3</f>
        <v>7.2580645161290328E-2</v>
      </c>
      <c r="AX256">
        <v>33</v>
      </c>
      <c r="AY256" s="6">
        <f>AX256/AX321</f>
        <v>7.6744186046511634E-2</v>
      </c>
      <c r="AZ256" s="6">
        <f>33/$AZ$3</f>
        <v>7.6744186046511634E-2</v>
      </c>
      <c r="BB256">
        <v>27</v>
      </c>
      <c r="BC256" s="6">
        <f>BB256/BB321</f>
        <v>6.3084112149532703E-2</v>
      </c>
      <c r="BD256" s="6">
        <f>27/$BD$3</f>
        <v>6.3084112149532703E-2</v>
      </c>
      <c r="BF256">
        <v>10</v>
      </c>
      <c r="BG256" s="6">
        <f>BF256/BF321</f>
        <v>4.1322314049586778E-2</v>
      </c>
      <c r="BH256" s="6">
        <f>10/$BH$3</f>
        <v>4.1322314049586778E-2</v>
      </c>
      <c r="BJ256">
        <v>31</v>
      </c>
      <c r="BK256" s="6">
        <f>BJ256/BJ321</f>
        <v>7.6923076923076927E-2</v>
      </c>
      <c r="BL256" s="6">
        <f>31/$BL$3</f>
        <v>7.6923076923076927E-2</v>
      </c>
      <c r="BN256">
        <v>25</v>
      </c>
      <c r="BO256" s="6">
        <f>BN256/BN321</f>
        <v>5.9101654846335699E-2</v>
      </c>
      <c r="BP256" s="6">
        <f>25/$BP$3</f>
        <v>5.9101654846335699E-2</v>
      </c>
      <c r="BR256">
        <v>14</v>
      </c>
      <c r="BS256" s="6">
        <f>BR256/BR321</f>
        <v>5.1094890510948905E-2</v>
      </c>
      <c r="BT256" s="6">
        <f>14/$BT$3</f>
        <v>5.1094890510948905E-2</v>
      </c>
      <c r="BV256">
        <v>22</v>
      </c>
      <c r="BW256" s="6">
        <f>BV256/BV321</f>
        <v>7.2131147540983612E-2</v>
      </c>
      <c r="BX256" s="6">
        <f>22/$BX$3</f>
        <v>7.2131147540983612E-2</v>
      </c>
      <c r="BZ256">
        <v>14</v>
      </c>
      <c r="CA256" s="6">
        <f>BZ256/BZ321</f>
        <v>6.25E-2</v>
      </c>
      <c r="CB256" s="6">
        <f>14/$CB$3</f>
        <v>6.25E-2</v>
      </c>
      <c r="CD256">
        <v>12</v>
      </c>
      <c r="CE256" s="6">
        <f>CD256/CD321</f>
        <v>4.9792531120331947E-2</v>
      </c>
      <c r="CF256" s="6">
        <f>12/$CF$3</f>
        <v>4.9792531120331947E-2</v>
      </c>
      <c r="CH256">
        <v>22</v>
      </c>
      <c r="CI256" s="6">
        <f>CH256/CH321</f>
        <v>6.6666666666666666E-2</v>
      </c>
      <c r="CJ256" s="6">
        <f>22/$CJ$3</f>
        <v>6.6666666666666666E-2</v>
      </c>
    </row>
    <row r="257" spans="1:88" x14ac:dyDescent="0.35">
      <c r="A257" s="1" t="s">
        <v>573</v>
      </c>
      <c r="B257">
        <v>192</v>
      </c>
      <c r="C257" s="6">
        <f>B257/B321</f>
        <v>0.17454545454545456</v>
      </c>
      <c r="D257" s="6">
        <f>192/$D$3</f>
        <v>0.17454545454545456</v>
      </c>
      <c r="F257">
        <v>118</v>
      </c>
      <c r="G257" s="6">
        <f>F257/F321</f>
        <v>0.12952799121844127</v>
      </c>
      <c r="H257" s="6">
        <f>118/$H$3</f>
        <v>0.12952799121844127</v>
      </c>
      <c r="J257">
        <v>32</v>
      </c>
      <c r="K257" s="6">
        <f>J257/J321</f>
        <v>7.3732718894009217E-2</v>
      </c>
      <c r="L257" s="8">
        <f>32/$L$3</f>
        <v>7.3732718894009217E-2</v>
      </c>
      <c r="N257">
        <v>11</v>
      </c>
      <c r="O257" s="6">
        <f>N257/N321</f>
        <v>0.13580246913580246</v>
      </c>
      <c r="P257" s="6">
        <f>11/$P$3</f>
        <v>0.13580246913580246</v>
      </c>
      <c r="R257">
        <v>101</v>
      </c>
      <c r="S257" s="6">
        <f>R257/R321</f>
        <v>0.18035714285714285</v>
      </c>
      <c r="T257" s="6">
        <f>101/$T$3</f>
        <v>0.18035714285714285</v>
      </c>
      <c r="V257">
        <v>91</v>
      </c>
      <c r="W257" s="6">
        <f>V257/V321</f>
        <v>0.16851851851851851</v>
      </c>
      <c r="X257" s="6">
        <f>91/$X$3</f>
        <v>0.16851851851851851</v>
      </c>
      <c r="Z257">
        <v>7</v>
      </c>
      <c r="AA257" s="6">
        <f>Z257/Z321</f>
        <v>6.1946902654867256E-2</v>
      </c>
      <c r="AB257" s="8">
        <f>7/$AB$3</f>
        <v>6.1946902654867256E-2</v>
      </c>
      <c r="AD257">
        <v>21</v>
      </c>
      <c r="AE257" s="6">
        <f>AD257/AD321</f>
        <v>0.10606060606060606</v>
      </c>
      <c r="AF257" s="8">
        <f>21/$AF$3</f>
        <v>0.10606060606060606</v>
      </c>
      <c r="AH257">
        <v>39</v>
      </c>
      <c r="AI257" s="6">
        <f>AH257/AH321</f>
        <v>0.15789473684210525</v>
      </c>
      <c r="AJ257" s="6">
        <f>39/$AJ$3</f>
        <v>0.15789473684210525</v>
      </c>
      <c r="AK257" s="7"/>
      <c r="AL257">
        <v>40</v>
      </c>
      <c r="AM257" s="6">
        <f>AL257/AL321</f>
        <v>0.17241379310344829</v>
      </c>
      <c r="AN257" s="6">
        <f>40/$AN$3</f>
        <v>0.17241379310344829</v>
      </c>
      <c r="AO257" s="7"/>
      <c r="AP257">
        <v>52</v>
      </c>
      <c r="AQ257" s="6">
        <f>AP257/AP321</f>
        <v>0.27956989247311825</v>
      </c>
      <c r="AR257" s="9">
        <f>52/$AR$3</f>
        <v>0.27956989247311825</v>
      </c>
      <c r="AS257" s="7"/>
      <c r="AT257">
        <v>33</v>
      </c>
      <c r="AU257" s="6">
        <f>AT257/AT321</f>
        <v>0.2661290322580645</v>
      </c>
      <c r="AV257" s="9">
        <f>33/$AV$3</f>
        <v>0.2661290322580645</v>
      </c>
      <c r="AW257" s="7"/>
      <c r="AX257">
        <v>73</v>
      </c>
      <c r="AY257" s="6">
        <f>AX257/AX321</f>
        <v>0.16976744186046511</v>
      </c>
      <c r="AZ257" s="6">
        <f>73/$AZ$3</f>
        <v>0.16976744186046511</v>
      </c>
      <c r="BB257">
        <v>68</v>
      </c>
      <c r="BC257" s="6">
        <f>BB257/BB321</f>
        <v>0.15887850467289719</v>
      </c>
      <c r="BD257" s="6">
        <f>68/$BD$3</f>
        <v>0.15887850467289719</v>
      </c>
      <c r="BF257">
        <v>51</v>
      </c>
      <c r="BG257" s="6">
        <f>BF257/BF321</f>
        <v>0.21074380165289255</v>
      </c>
      <c r="BH257" s="6">
        <f>51/$BH$3</f>
        <v>0.21074380165289255</v>
      </c>
      <c r="BJ257">
        <v>72</v>
      </c>
      <c r="BK257" s="6">
        <f>BJ257/BJ321</f>
        <v>0.17866004962779156</v>
      </c>
      <c r="BL257" s="6">
        <f>72/$BL$3</f>
        <v>0.17866004962779156</v>
      </c>
      <c r="BN257">
        <v>75</v>
      </c>
      <c r="BO257" s="6">
        <f>BN257/BN321</f>
        <v>0.1773049645390071</v>
      </c>
      <c r="BP257" s="6">
        <f>75/$BP$3</f>
        <v>0.1773049645390071</v>
      </c>
      <c r="BR257">
        <v>45</v>
      </c>
      <c r="BS257" s="6">
        <f>BR257/BR321</f>
        <v>0.16423357664233576</v>
      </c>
      <c r="BT257" s="6">
        <f>45/$BT$3</f>
        <v>0.16423357664233576</v>
      </c>
      <c r="BV257">
        <v>54</v>
      </c>
      <c r="BW257" s="6">
        <f>BV257/BV321</f>
        <v>0.17704918032786884</v>
      </c>
      <c r="BX257" s="6">
        <f>54/$BX$3</f>
        <v>0.17704918032786884</v>
      </c>
      <c r="BZ257">
        <v>33</v>
      </c>
      <c r="CA257" s="6">
        <f>BZ257/BZ321</f>
        <v>0.14732142857142858</v>
      </c>
      <c r="CB257" s="6">
        <f>33/$CB$3</f>
        <v>0.14732142857142858</v>
      </c>
      <c r="CD257">
        <v>46</v>
      </c>
      <c r="CE257" s="6">
        <f>CD257/CD321</f>
        <v>0.1908713692946058</v>
      </c>
      <c r="CF257" s="6">
        <f>46/$CF$3</f>
        <v>0.1908713692946058</v>
      </c>
      <c r="CH257">
        <v>59</v>
      </c>
      <c r="CI257" s="6">
        <f>CH257/CH321</f>
        <v>0.1787878787878788</v>
      </c>
      <c r="CJ257" s="6">
        <f>59/$CJ$3</f>
        <v>0.1787878787878788</v>
      </c>
    </row>
    <row r="259" spans="1:88" x14ac:dyDescent="0.35">
      <c r="A259" s="1" t="s">
        <v>574</v>
      </c>
      <c r="B259">
        <v>353</v>
      </c>
      <c r="C259" s="6">
        <f>B259/B321</f>
        <v>0.32090909090909092</v>
      </c>
      <c r="D259" s="6">
        <f>353/$D$3</f>
        <v>0.32090909090909092</v>
      </c>
      <c r="F259">
        <v>316</v>
      </c>
      <c r="G259" s="6">
        <f>F259/F321</f>
        <v>0.34687156970362237</v>
      </c>
      <c r="H259" s="6">
        <f>316/$H$3</f>
        <v>0.34687156970362237</v>
      </c>
      <c r="J259">
        <v>182</v>
      </c>
      <c r="K259" s="6">
        <f>J259/J321</f>
        <v>0.41935483870967744</v>
      </c>
      <c r="L259" s="9">
        <f>182/$L$3</f>
        <v>0.41935483870967744</v>
      </c>
      <c r="N259">
        <v>25</v>
      </c>
      <c r="O259" s="6">
        <f>N259/N321</f>
        <v>0.30864197530864196</v>
      </c>
      <c r="P259" s="6">
        <f>25/$P$3</f>
        <v>0.30864197530864196</v>
      </c>
      <c r="R259">
        <v>184</v>
      </c>
      <c r="S259" s="6">
        <f>R259/R321</f>
        <v>0.32857142857142857</v>
      </c>
      <c r="T259" s="6">
        <f>184/$T$3</f>
        <v>0.32857142857142857</v>
      </c>
      <c r="V259">
        <v>169</v>
      </c>
      <c r="W259" s="6">
        <f>V259/V321</f>
        <v>0.31296296296296294</v>
      </c>
      <c r="X259" s="6">
        <f>169/$X$3</f>
        <v>0.31296296296296294</v>
      </c>
      <c r="Z259">
        <v>38</v>
      </c>
      <c r="AA259" s="6">
        <f>Z259/Z321</f>
        <v>0.33628318584070799</v>
      </c>
      <c r="AB259" s="6">
        <f>38/$AB$3</f>
        <v>0.33628318584070799</v>
      </c>
      <c r="AD259">
        <v>66</v>
      </c>
      <c r="AE259" s="6">
        <f>AD259/AD321</f>
        <v>0.33333333333333331</v>
      </c>
      <c r="AF259" s="6">
        <f>66/$AF$3</f>
        <v>0.33333333333333331</v>
      </c>
      <c r="AH259">
        <v>82</v>
      </c>
      <c r="AI259" s="6">
        <f>AH259/AH321</f>
        <v>0.33198380566801622</v>
      </c>
      <c r="AJ259" s="6">
        <f>82/$AJ$3</f>
        <v>0.33198380566801622</v>
      </c>
      <c r="AL259">
        <v>83</v>
      </c>
      <c r="AM259" s="6">
        <f>AL259/AL321</f>
        <v>0.35775862068965519</v>
      </c>
      <c r="AN259" s="6">
        <f>83/$AN$3</f>
        <v>0.35775862068965519</v>
      </c>
      <c r="AP259">
        <v>51</v>
      </c>
      <c r="AQ259" s="6">
        <f>AP259/AP321</f>
        <v>0.27419354838709675</v>
      </c>
      <c r="AR259" s="6">
        <f>51/$AR$3</f>
        <v>0.27419354838709675</v>
      </c>
      <c r="AT259">
        <v>33</v>
      </c>
      <c r="AU259" s="6">
        <f>AT259/AT321</f>
        <v>0.2661290322580645</v>
      </c>
      <c r="AV259" s="6">
        <f>33/$AV$3</f>
        <v>0.2661290322580645</v>
      </c>
      <c r="AX259">
        <v>151</v>
      </c>
      <c r="AY259" s="6">
        <f>AX259/AX321</f>
        <v>0.35116279069767442</v>
      </c>
      <c r="AZ259" s="6">
        <f>151/$AZ$3</f>
        <v>0.35116279069767442</v>
      </c>
      <c r="BB259">
        <v>137</v>
      </c>
      <c r="BC259" s="6">
        <f>BB259/BB321</f>
        <v>0.32009345794392524</v>
      </c>
      <c r="BD259" s="6">
        <f>137/$BD$3</f>
        <v>0.32009345794392524</v>
      </c>
      <c r="BF259">
        <v>65</v>
      </c>
      <c r="BG259" s="6">
        <f>BF259/BF321</f>
        <v>0.26859504132231404</v>
      </c>
      <c r="BH259" s="8">
        <f>65/$BH$3</f>
        <v>0.26859504132231404</v>
      </c>
      <c r="BJ259">
        <v>121</v>
      </c>
      <c r="BK259" s="6">
        <f>BJ259/BJ321</f>
        <v>0.30024813895781638</v>
      </c>
      <c r="BL259" s="6">
        <f>121/$BL$3</f>
        <v>0.30024813895781638</v>
      </c>
      <c r="BN259">
        <v>142</v>
      </c>
      <c r="BO259" s="6">
        <f>BN259/BN321</f>
        <v>0.33569739952718675</v>
      </c>
      <c r="BP259" s="6">
        <f>142/$BP$3</f>
        <v>0.33569739952718675</v>
      </c>
      <c r="BR259">
        <v>90</v>
      </c>
      <c r="BS259" s="6">
        <f>BR259/BR321</f>
        <v>0.32846715328467152</v>
      </c>
      <c r="BT259" s="6">
        <f>90/$BT$3</f>
        <v>0.32846715328467152</v>
      </c>
      <c r="BV259">
        <v>87</v>
      </c>
      <c r="BW259" s="6">
        <f>BV259/BV321</f>
        <v>0.28524590163934427</v>
      </c>
      <c r="BX259" s="6">
        <f>87/$BX$3</f>
        <v>0.28524590163934427</v>
      </c>
      <c r="BZ259">
        <v>73</v>
      </c>
      <c r="CA259" s="6">
        <f>BZ259/BZ321</f>
        <v>0.32589285714285715</v>
      </c>
      <c r="CB259" s="6">
        <f>73/$CB$3</f>
        <v>0.32589285714285715</v>
      </c>
      <c r="CD259">
        <v>86</v>
      </c>
      <c r="CE259" s="6">
        <f>CD259/CD321</f>
        <v>0.35684647302904565</v>
      </c>
      <c r="CF259" s="6">
        <f>86/$CF$3</f>
        <v>0.35684647302904565</v>
      </c>
      <c r="CH259">
        <v>107</v>
      </c>
      <c r="CI259" s="6">
        <f>CH259/CH321</f>
        <v>0.32424242424242422</v>
      </c>
      <c r="CJ259" s="6">
        <f>107/$CJ$3</f>
        <v>0.32424242424242422</v>
      </c>
    </row>
    <row r="260" spans="1:88" x14ac:dyDescent="0.35">
      <c r="A260" s="1" t="s">
        <v>575</v>
      </c>
      <c r="B260">
        <v>494</v>
      </c>
      <c r="C260" s="6">
        <f>B260/B321</f>
        <v>0.4490909090909091</v>
      </c>
      <c r="D260" s="6">
        <f>494/$D$3</f>
        <v>0.4490909090909091</v>
      </c>
      <c r="F260">
        <v>424</v>
      </c>
      <c r="G260" s="6">
        <f>F260/F321</f>
        <v>0.46542261251372119</v>
      </c>
      <c r="H260" s="6">
        <f>424/$H$3</f>
        <v>0.46542261251372119</v>
      </c>
      <c r="J260">
        <v>201</v>
      </c>
      <c r="K260" s="6">
        <f>J260/J321</f>
        <v>0.46313364055299538</v>
      </c>
      <c r="L260" s="6">
        <f>201/$L$3</f>
        <v>0.46313364055299538</v>
      </c>
      <c r="N260">
        <v>38</v>
      </c>
      <c r="O260" s="6">
        <f>N260/N321</f>
        <v>0.46913580246913578</v>
      </c>
      <c r="P260" s="6">
        <f>38/$P$3</f>
        <v>0.46913580246913578</v>
      </c>
      <c r="R260">
        <v>251</v>
      </c>
      <c r="S260" s="6">
        <f>R260/R321</f>
        <v>0.44821428571428573</v>
      </c>
      <c r="T260" s="6">
        <f>251/$T$3</f>
        <v>0.44821428571428573</v>
      </c>
      <c r="V260">
        <v>243</v>
      </c>
      <c r="W260" s="6">
        <f>V260/V321</f>
        <v>0.45</v>
      </c>
      <c r="X260" s="6">
        <f>243/$X$3</f>
        <v>0.45</v>
      </c>
      <c r="Z260">
        <v>48</v>
      </c>
      <c r="AA260" s="6">
        <f>Z260/Z321</f>
        <v>0.4247787610619469</v>
      </c>
      <c r="AB260" s="6">
        <f>48/$AB$3</f>
        <v>0.4247787610619469</v>
      </c>
      <c r="AD260">
        <v>93</v>
      </c>
      <c r="AE260" s="6">
        <f>AD260/AD321</f>
        <v>0.46969696969696972</v>
      </c>
      <c r="AF260" s="6">
        <f>93/$AF$3</f>
        <v>0.46969696969696972</v>
      </c>
      <c r="AH260">
        <v>121</v>
      </c>
      <c r="AI260" s="6">
        <f>AH260/AH321</f>
        <v>0.48987854251012147</v>
      </c>
      <c r="AJ260" s="6">
        <f>121/$AJ$3</f>
        <v>0.48987854251012147</v>
      </c>
      <c r="AL260">
        <v>104</v>
      </c>
      <c r="AM260" s="6">
        <f>AL260/AL321</f>
        <v>0.44827586206896552</v>
      </c>
      <c r="AN260" s="6">
        <f>104/$AN$3</f>
        <v>0.44827586206896552</v>
      </c>
      <c r="AP260">
        <v>77</v>
      </c>
      <c r="AQ260" s="6">
        <f>AP260/AP321</f>
        <v>0.41397849462365593</v>
      </c>
      <c r="AR260" s="6">
        <f>77/$AR$3</f>
        <v>0.41397849462365593</v>
      </c>
      <c r="AT260">
        <v>51</v>
      </c>
      <c r="AU260" s="6">
        <f>AT260/AT321</f>
        <v>0.41129032258064518</v>
      </c>
      <c r="AV260" s="6">
        <f>51/$AV$3</f>
        <v>0.41129032258064518</v>
      </c>
      <c r="AX260">
        <v>187</v>
      </c>
      <c r="AY260" s="6">
        <f>AX260/AX321</f>
        <v>0.43488372093023253</v>
      </c>
      <c r="AZ260" s="6">
        <f>187/$AZ$3</f>
        <v>0.43488372093023253</v>
      </c>
      <c r="BB260">
        <v>195</v>
      </c>
      <c r="BC260" s="6">
        <f>BB260/BB321</f>
        <v>0.45560747663551404</v>
      </c>
      <c r="BD260" s="6">
        <f>195/$BD$3</f>
        <v>0.45560747663551404</v>
      </c>
      <c r="BF260">
        <v>112</v>
      </c>
      <c r="BG260" s="6">
        <f>BF260/BF321</f>
        <v>0.46280991735537191</v>
      </c>
      <c r="BH260" s="6">
        <f>112/$BH$3</f>
        <v>0.46280991735537191</v>
      </c>
      <c r="BJ260">
        <v>187</v>
      </c>
      <c r="BK260" s="6">
        <f>BJ260/BJ321</f>
        <v>0.4640198511166253</v>
      </c>
      <c r="BL260" s="6">
        <f>187/$BL$3</f>
        <v>0.4640198511166253</v>
      </c>
      <c r="BN260">
        <v>180</v>
      </c>
      <c r="BO260" s="6">
        <f>BN260/BN321</f>
        <v>0.42553191489361702</v>
      </c>
      <c r="BP260" s="6">
        <f>180/$BP$3</f>
        <v>0.42553191489361702</v>
      </c>
      <c r="BR260">
        <v>127</v>
      </c>
      <c r="BS260" s="6">
        <f>BR260/BR321</f>
        <v>0.46350364963503649</v>
      </c>
      <c r="BT260" s="6">
        <f>127/$BT$3</f>
        <v>0.46350364963503649</v>
      </c>
      <c r="BV260">
        <v>146</v>
      </c>
      <c r="BW260" s="6">
        <f>BV260/BV321</f>
        <v>0.47868852459016392</v>
      </c>
      <c r="BX260" s="6">
        <f>146/$BX$3</f>
        <v>0.47868852459016392</v>
      </c>
      <c r="BZ260">
        <v>103</v>
      </c>
      <c r="CA260" s="6">
        <f>BZ260/BZ321</f>
        <v>0.45982142857142855</v>
      </c>
      <c r="CB260" s="6">
        <f>103/$CB$3</f>
        <v>0.45982142857142855</v>
      </c>
      <c r="CD260">
        <v>96</v>
      </c>
      <c r="CE260" s="6">
        <f>CD260/CD321</f>
        <v>0.39834024896265557</v>
      </c>
      <c r="CF260" s="6">
        <f>96/$CF$3</f>
        <v>0.39834024896265557</v>
      </c>
      <c r="CH260">
        <v>149</v>
      </c>
      <c r="CI260" s="6">
        <f>CH260/CH321</f>
        <v>0.45151515151515154</v>
      </c>
      <c r="CJ260" s="6">
        <f>149/$CJ$3</f>
        <v>0.45151515151515154</v>
      </c>
    </row>
    <row r="261" spans="1:88" x14ac:dyDescent="0.35">
      <c r="A261" s="1" t="s">
        <v>576</v>
      </c>
      <c r="B261">
        <v>101</v>
      </c>
      <c r="C261" s="6">
        <f>B261/B321</f>
        <v>9.1818181818181813E-2</v>
      </c>
      <c r="D261" s="6">
        <f>101/$D$3</f>
        <v>9.1818181818181813E-2</v>
      </c>
      <c r="F261">
        <v>82</v>
      </c>
      <c r="G261" s="6">
        <f>F261/F321</f>
        <v>9.0010976948408344E-2</v>
      </c>
      <c r="H261" s="6">
        <f>82/$H$3</f>
        <v>9.0010976948408344E-2</v>
      </c>
      <c r="J261">
        <v>34</v>
      </c>
      <c r="K261" s="6">
        <f>J261/J321</f>
        <v>7.8341013824884786E-2</v>
      </c>
      <c r="L261" s="6">
        <f>34/$L$3</f>
        <v>7.8341013824884786E-2</v>
      </c>
      <c r="N261">
        <v>13</v>
      </c>
      <c r="O261" s="6">
        <f>N261/N321</f>
        <v>0.16049382716049382</v>
      </c>
      <c r="P261" s="9">
        <f>13/$P$3</f>
        <v>0.16049382716049382</v>
      </c>
      <c r="R261">
        <v>50</v>
      </c>
      <c r="S261" s="6">
        <f>R261/R321</f>
        <v>8.9285714285714288E-2</v>
      </c>
      <c r="T261" s="6">
        <f>50/$T$3</f>
        <v>8.9285714285714288E-2</v>
      </c>
      <c r="V261">
        <v>51</v>
      </c>
      <c r="W261" s="6">
        <f>V261/V321</f>
        <v>9.4444444444444442E-2</v>
      </c>
      <c r="X261" s="6">
        <f>51/$X$3</f>
        <v>9.4444444444444442E-2</v>
      </c>
      <c r="Z261">
        <v>22</v>
      </c>
      <c r="AA261" s="6">
        <f>Z261/Z321</f>
        <v>0.19469026548672566</v>
      </c>
      <c r="AB261" s="9">
        <f>22/$AB$3</f>
        <v>0.19469026548672566</v>
      </c>
      <c r="AC261" s="7"/>
      <c r="AD261">
        <v>18</v>
      </c>
      <c r="AE261" s="6">
        <f>AD261/AD321</f>
        <v>9.0909090909090912E-2</v>
      </c>
      <c r="AF261" s="6">
        <f>18/$AF$3</f>
        <v>9.0909090909090912E-2</v>
      </c>
      <c r="AH261">
        <v>15</v>
      </c>
      <c r="AI261" s="6">
        <f>AH261/AH321</f>
        <v>6.0728744939271252E-2</v>
      </c>
      <c r="AJ261" s="6">
        <f>15/$AJ$3</f>
        <v>6.0728744939271252E-2</v>
      </c>
      <c r="AL261">
        <v>16</v>
      </c>
      <c r="AM261" s="6">
        <f>AL261/AL321</f>
        <v>6.8965517241379309E-2</v>
      </c>
      <c r="AN261" s="6">
        <f>16/$AN$3</f>
        <v>6.8965517241379309E-2</v>
      </c>
      <c r="AP261">
        <v>17</v>
      </c>
      <c r="AQ261" s="6">
        <f>AP261/AP321</f>
        <v>9.1397849462365593E-2</v>
      </c>
      <c r="AR261" s="6">
        <f>17/$AR$3</f>
        <v>9.1397849462365593E-2</v>
      </c>
      <c r="AT261">
        <v>13</v>
      </c>
      <c r="AU261" s="6">
        <f>AT261/AT321</f>
        <v>0.10483870967741936</v>
      </c>
      <c r="AV261" s="6">
        <f>13/$AV$3</f>
        <v>0.10483870967741936</v>
      </c>
      <c r="AX261">
        <v>39</v>
      </c>
      <c r="AY261" s="6">
        <f>AX261/AX321</f>
        <v>9.0697674418604657E-2</v>
      </c>
      <c r="AZ261" s="6">
        <f>39/$AZ$3</f>
        <v>9.0697674418604657E-2</v>
      </c>
      <c r="BB261">
        <v>43</v>
      </c>
      <c r="BC261" s="6">
        <f>BB261/BB321</f>
        <v>0.10046728971962617</v>
      </c>
      <c r="BD261" s="6">
        <f>43/$BD$3</f>
        <v>0.10046728971962617</v>
      </c>
      <c r="BF261">
        <v>19</v>
      </c>
      <c r="BG261" s="6">
        <f>BF261/BF321</f>
        <v>7.8512396694214878E-2</v>
      </c>
      <c r="BH261" s="6">
        <f>19/$BH$3</f>
        <v>7.8512396694214878E-2</v>
      </c>
      <c r="BJ261">
        <v>38</v>
      </c>
      <c r="BK261" s="6">
        <f>BJ261/BJ321</f>
        <v>9.4292803970223327E-2</v>
      </c>
      <c r="BL261" s="6">
        <f>38/$BL$3</f>
        <v>9.4292803970223327E-2</v>
      </c>
      <c r="BN261">
        <v>42</v>
      </c>
      <c r="BO261" s="6">
        <f>BN261/BN321</f>
        <v>9.9290780141843976E-2</v>
      </c>
      <c r="BP261" s="6">
        <f>42/$BP$3</f>
        <v>9.9290780141843976E-2</v>
      </c>
      <c r="BR261">
        <v>21</v>
      </c>
      <c r="BS261" s="6">
        <f>BR261/BR321</f>
        <v>7.6642335766423361E-2</v>
      </c>
      <c r="BT261" s="6">
        <f>21/$BT$3</f>
        <v>7.6642335766423361E-2</v>
      </c>
      <c r="BV261">
        <v>29</v>
      </c>
      <c r="BW261" s="6">
        <f>BV261/BV321</f>
        <v>9.5081967213114751E-2</v>
      </c>
      <c r="BX261" s="6">
        <f>29/$BX$3</f>
        <v>9.5081967213114751E-2</v>
      </c>
      <c r="BZ261">
        <v>20</v>
      </c>
      <c r="CA261" s="6">
        <f>BZ261/BZ321</f>
        <v>8.9285714285714288E-2</v>
      </c>
      <c r="CB261" s="6">
        <f>20/$CB$3</f>
        <v>8.9285714285714288E-2</v>
      </c>
      <c r="CD261">
        <v>25</v>
      </c>
      <c r="CE261" s="6">
        <f>CD261/CD321</f>
        <v>0.1037344398340249</v>
      </c>
      <c r="CF261" s="6">
        <f>25/$CF$3</f>
        <v>0.1037344398340249</v>
      </c>
      <c r="CH261">
        <v>27</v>
      </c>
      <c r="CI261" s="6">
        <f>CH261/CH321</f>
        <v>8.1818181818181818E-2</v>
      </c>
      <c r="CJ261" s="6">
        <f>27/$CJ$3</f>
        <v>8.1818181818181818E-2</v>
      </c>
    </row>
    <row r="262" spans="1:88" x14ac:dyDescent="0.35">
      <c r="A262" s="1" t="s">
        <v>577</v>
      </c>
      <c r="B262">
        <v>152</v>
      </c>
      <c r="C262" s="6">
        <f>B262/B321</f>
        <v>0.13818181818181818</v>
      </c>
      <c r="D262" s="6">
        <f>152/$D$3</f>
        <v>0.13818181818181818</v>
      </c>
      <c r="F262">
        <v>89</v>
      </c>
      <c r="G262" s="6">
        <f>F262/F321</f>
        <v>9.7694840834248078E-2</v>
      </c>
      <c r="H262" s="6">
        <f>89/$H$3</f>
        <v>9.7694840834248078E-2</v>
      </c>
      <c r="J262">
        <v>17</v>
      </c>
      <c r="K262" s="6">
        <f>J262/J321</f>
        <v>3.9170506912442393E-2</v>
      </c>
      <c r="L262" s="8">
        <f>17/$L$3</f>
        <v>3.9170506912442393E-2</v>
      </c>
      <c r="N262">
        <v>5</v>
      </c>
      <c r="O262" s="6">
        <f>N262/N321</f>
        <v>6.1728395061728392E-2</v>
      </c>
      <c r="P262" s="8">
        <f>5/$P$3</f>
        <v>6.1728395061728392E-2</v>
      </c>
      <c r="R262">
        <v>75</v>
      </c>
      <c r="S262" s="6">
        <f>R262/R321</f>
        <v>0.13392857142857142</v>
      </c>
      <c r="T262" s="6">
        <f>75/$T$3</f>
        <v>0.13392857142857142</v>
      </c>
      <c r="V262">
        <v>77</v>
      </c>
      <c r="W262" s="6">
        <f>V262/V321</f>
        <v>0.1425925925925926</v>
      </c>
      <c r="X262" s="6">
        <f>77/$X$3</f>
        <v>0.1425925925925926</v>
      </c>
      <c r="Z262">
        <v>5</v>
      </c>
      <c r="AA262" s="6">
        <f>Z262/Z321</f>
        <v>4.4247787610619468E-2</v>
      </c>
      <c r="AB262" s="8">
        <f>5/$AB$3</f>
        <v>4.4247787610619468E-2</v>
      </c>
      <c r="AD262">
        <v>21</v>
      </c>
      <c r="AE262" s="6">
        <f>AD262/AD321</f>
        <v>0.10606060606060606</v>
      </c>
      <c r="AF262" s="6">
        <f>21/$AF$3</f>
        <v>0.10606060606060606</v>
      </c>
      <c r="AH262">
        <v>29</v>
      </c>
      <c r="AI262" s="6">
        <f>AH262/AH321</f>
        <v>0.11740890688259109</v>
      </c>
      <c r="AJ262" s="6">
        <f>29/$AJ$3</f>
        <v>0.11740890688259109</v>
      </c>
      <c r="AL262">
        <v>29</v>
      </c>
      <c r="AM262" s="6">
        <f>AL262/AL321</f>
        <v>0.125</v>
      </c>
      <c r="AN262" s="6">
        <f>29/$AN$3</f>
        <v>0.125</v>
      </c>
      <c r="AO262" s="7"/>
      <c r="AP262">
        <v>41</v>
      </c>
      <c r="AQ262" s="6">
        <f>AP262/AP321</f>
        <v>0.22043010752688172</v>
      </c>
      <c r="AR262" s="9">
        <f>41/$AR$3</f>
        <v>0.22043010752688172</v>
      </c>
      <c r="AS262" s="7"/>
      <c r="AT262">
        <v>27</v>
      </c>
      <c r="AU262" s="6">
        <f>AT262/AT321</f>
        <v>0.21774193548387097</v>
      </c>
      <c r="AV262" s="9">
        <f>27/$AV$3</f>
        <v>0.21774193548387097</v>
      </c>
      <c r="AW262" s="7"/>
      <c r="AX262">
        <v>53</v>
      </c>
      <c r="AY262" s="6">
        <f>AX262/AX321</f>
        <v>0.12325581395348838</v>
      </c>
      <c r="AZ262" s="6">
        <f>53/$AZ$3</f>
        <v>0.12325581395348838</v>
      </c>
      <c r="BB262">
        <v>53</v>
      </c>
      <c r="BC262" s="6">
        <f>BB262/BB321</f>
        <v>0.12383177570093458</v>
      </c>
      <c r="BD262" s="6">
        <f>53/$BD$3</f>
        <v>0.12383177570093458</v>
      </c>
      <c r="BF262">
        <v>46</v>
      </c>
      <c r="BG262" s="6">
        <f>BF262/BF321</f>
        <v>0.19008264462809918</v>
      </c>
      <c r="BH262" s="9">
        <f>46/$BH$3</f>
        <v>0.19008264462809918</v>
      </c>
      <c r="BJ262">
        <v>57</v>
      </c>
      <c r="BK262" s="6">
        <f>BJ262/BJ321</f>
        <v>0.14143920595533499</v>
      </c>
      <c r="BL262" s="6">
        <f>57/$BL$3</f>
        <v>0.14143920595533499</v>
      </c>
      <c r="BN262">
        <v>59</v>
      </c>
      <c r="BO262" s="6">
        <f>BN262/BN321</f>
        <v>0.13947990543735225</v>
      </c>
      <c r="BP262" s="6">
        <f>59/$BP$3</f>
        <v>0.13947990543735225</v>
      </c>
      <c r="BR262">
        <v>36</v>
      </c>
      <c r="BS262" s="6">
        <f>BR262/BR321</f>
        <v>0.13138686131386862</v>
      </c>
      <c r="BT262" s="6">
        <f>36/$BT$3</f>
        <v>0.13138686131386862</v>
      </c>
      <c r="BV262">
        <v>43</v>
      </c>
      <c r="BW262" s="6">
        <f>BV262/BV321</f>
        <v>0.14098360655737704</v>
      </c>
      <c r="BX262" s="6">
        <f>43/$BX$3</f>
        <v>0.14098360655737704</v>
      </c>
      <c r="BZ262">
        <v>28</v>
      </c>
      <c r="CA262" s="6">
        <f>BZ262/BZ321</f>
        <v>0.125</v>
      </c>
      <c r="CB262" s="6">
        <f>28/$CB$3</f>
        <v>0.125</v>
      </c>
      <c r="CD262">
        <v>34</v>
      </c>
      <c r="CE262" s="6">
        <f>CD262/CD321</f>
        <v>0.14107883817427386</v>
      </c>
      <c r="CF262" s="6">
        <f>34/$CF$3</f>
        <v>0.14107883817427386</v>
      </c>
      <c r="CH262">
        <v>47</v>
      </c>
      <c r="CI262" s="6">
        <f>CH262/CH321</f>
        <v>0.14242424242424243</v>
      </c>
      <c r="CJ262" s="6">
        <f>47/$CJ$3</f>
        <v>0.14242424242424243</v>
      </c>
    </row>
    <row r="264" spans="1:88" x14ac:dyDescent="0.35">
      <c r="A264" s="1" t="s">
        <v>578</v>
      </c>
      <c r="B264">
        <v>396</v>
      </c>
      <c r="C264" s="6">
        <f>B264/B321</f>
        <v>0.36</v>
      </c>
      <c r="D264" s="6">
        <f>396/$D$3</f>
        <v>0.36</v>
      </c>
      <c r="F264">
        <v>358</v>
      </c>
      <c r="G264" s="6">
        <f>F264/F321</f>
        <v>0.39297475301866081</v>
      </c>
      <c r="H264" s="6">
        <f>358/$H$3</f>
        <v>0.39297475301866081</v>
      </c>
      <c r="J264">
        <v>217</v>
      </c>
      <c r="K264" s="6">
        <f>J264/J321</f>
        <v>0.5</v>
      </c>
      <c r="L264" s="9">
        <f>217/$L$3</f>
        <v>0.5</v>
      </c>
      <c r="N264">
        <v>26</v>
      </c>
      <c r="O264" s="6">
        <f>N264/N321</f>
        <v>0.32098765432098764</v>
      </c>
      <c r="P264" s="6">
        <f>26/$P$3</f>
        <v>0.32098765432098764</v>
      </c>
      <c r="R264">
        <v>197</v>
      </c>
      <c r="S264" s="6">
        <f>R264/R321</f>
        <v>0.35178571428571431</v>
      </c>
      <c r="T264" s="6">
        <f>197/$T$3</f>
        <v>0.35178571428571431</v>
      </c>
      <c r="V264">
        <v>199</v>
      </c>
      <c r="W264" s="6">
        <f>V264/V321</f>
        <v>0.36851851851851852</v>
      </c>
      <c r="X264" s="6">
        <f>199/$X$3</f>
        <v>0.36851851851851852</v>
      </c>
      <c r="Z264">
        <v>43</v>
      </c>
      <c r="AA264" s="6">
        <f>Z264/Z321</f>
        <v>0.38053097345132741</v>
      </c>
      <c r="AB264" s="6">
        <f>43/$AB$3</f>
        <v>0.38053097345132741</v>
      </c>
      <c r="AD264">
        <v>82</v>
      </c>
      <c r="AE264" s="6">
        <f>AD264/AD321</f>
        <v>0.41414141414141414</v>
      </c>
      <c r="AF264" s="6">
        <f>82/$AF$3</f>
        <v>0.41414141414141414</v>
      </c>
      <c r="AH264">
        <v>88</v>
      </c>
      <c r="AI264" s="6">
        <f>AH264/AH321</f>
        <v>0.35627530364372467</v>
      </c>
      <c r="AJ264" s="6">
        <f>88/$AJ$3</f>
        <v>0.35627530364372467</v>
      </c>
      <c r="AL264">
        <v>89</v>
      </c>
      <c r="AM264" s="6">
        <f>AL264/AL321</f>
        <v>0.38362068965517243</v>
      </c>
      <c r="AN264" s="6">
        <f>89/$AN$3</f>
        <v>0.38362068965517243</v>
      </c>
      <c r="AP264">
        <v>57</v>
      </c>
      <c r="AQ264" s="6">
        <f>AP264/AP321</f>
        <v>0.30645161290322581</v>
      </c>
      <c r="AR264" s="6">
        <f>57/$AR$3</f>
        <v>0.30645161290322581</v>
      </c>
      <c r="AT264">
        <v>37</v>
      </c>
      <c r="AU264" s="6">
        <f>AT264/AT321</f>
        <v>0.29838709677419356</v>
      </c>
      <c r="AV264" s="6">
        <f>37/$AV$3</f>
        <v>0.29838709677419356</v>
      </c>
      <c r="AX264">
        <v>163</v>
      </c>
      <c r="AY264" s="6">
        <f>AX264/AX321</f>
        <v>0.37906976744186044</v>
      </c>
      <c r="AZ264" s="6">
        <f>163/$AZ$3</f>
        <v>0.37906976744186044</v>
      </c>
      <c r="BB264">
        <v>160</v>
      </c>
      <c r="BC264" s="6">
        <f>BB264/BB321</f>
        <v>0.37383177570093457</v>
      </c>
      <c r="BD264" s="6">
        <f>160/$BD$3</f>
        <v>0.37383177570093457</v>
      </c>
      <c r="BF264">
        <v>73</v>
      </c>
      <c r="BG264" s="6">
        <f>BF264/BF321</f>
        <v>0.30165289256198347</v>
      </c>
      <c r="BH264" s="8">
        <f>73/$BH$3</f>
        <v>0.30165289256198347</v>
      </c>
      <c r="BJ264">
        <v>144</v>
      </c>
      <c r="BK264" s="6">
        <f>BJ264/BJ321</f>
        <v>0.35732009925558311</v>
      </c>
      <c r="BL264" s="6">
        <f>144/$BL$3</f>
        <v>0.35732009925558311</v>
      </c>
      <c r="BN264">
        <v>154</v>
      </c>
      <c r="BO264" s="6">
        <f>BN264/BN321</f>
        <v>0.36406619385342792</v>
      </c>
      <c r="BP264" s="6">
        <f>154/$BP$3</f>
        <v>0.36406619385342792</v>
      </c>
      <c r="BR264">
        <v>98</v>
      </c>
      <c r="BS264" s="6">
        <f>BR264/BR321</f>
        <v>0.35766423357664234</v>
      </c>
      <c r="BT264" s="6">
        <f>98/$BT$3</f>
        <v>0.35766423357664234</v>
      </c>
      <c r="BV264">
        <v>102</v>
      </c>
      <c r="BW264" s="6">
        <f>BV264/BV321</f>
        <v>0.33442622950819673</v>
      </c>
      <c r="BX264" s="6">
        <f>102/$BX$3</f>
        <v>0.33442622950819673</v>
      </c>
      <c r="BZ264">
        <v>87</v>
      </c>
      <c r="CA264" s="6">
        <f>BZ264/BZ321</f>
        <v>0.38839285714285715</v>
      </c>
      <c r="CB264" s="6">
        <f>87/$CB$3</f>
        <v>0.38839285714285715</v>
      </c>
      <c r="CD264">
        <v>90</v>
      </c>
      <c r="CE264" s="6">
        <f>CD264/CD321</f>
        <v>0.37344398340248963</v>
      </c>
      <c r="CF264" s="6">
        <f>90/$CF$3</f>
        <v>0.37344398340248963</v>
      </c>
      <c r="CH264">
        <v>117</v>
      </c>
      <c r="CI264" s="6">
        <f>CH264/CH321</f>
        <v>0.35454545454545455</v>
      </c>
      <c r="CJ264" s="6">
        <f>117/$CJ$3</f>
        <v>0.35454545454545455</v>
      </c>
    </row>
    <row r="265" spans="1:88" x14ac:dyDescent="0.35">
      <c r="A265" s="1" t="s">
        <v>579</v>
      </c>
      <c r="B265">
        <v>460</v>
      </c>
      <c r="C265" s="6">
        <f>B265/B321</f>
        <v>0.41818181818181815</v>
      </c>
      <c r="D265" s="6">
        <f>460/$D$3</f>
        <v>0.41818181818181815</v>
      </c>
      <c r="F265">
        <v>391</v>
      </c>
      <c r="G265" s="6">
        <f>F265/F321</f>
        <v>0.429198682766191</v>
      </c>
      <c r="H265" s="6">
        <f>391/$H$3</f>
        <v>0.429198682766191</v>
      </c>
      <c r="J265">
        <v>176</v>
      </c>
      <c r="K265" s="6">
        <f>J265/J321</f>
        <v>0.40552995391705071</v>
      </c>
      <c r="L265" s="6">
        <f>176/$L$3</f>
        <v>0.40552995391705071</v>
      </c>
      <c r="N265">
        <v>42</v>
      </c>
      <c r="O265" s="6">
        <f>N265/N321</f>
        <v>0.51851851851851849</v>
      </c>
      <c r="P265" s="6">
        <f>42/$P$3</f>
        <v>0.51851851851851849</v>
      </c>
      <c r="R265">
        <v>231</v>
      </c>
      <c r="S265" s="6">
        <f>R265/R321</f>
        <v>0.41249999999999998</v>
      </c>
      <c r="T265" s="6">
        <f>231/$T$3</f>
        <v>0.41249999999999998</v>
      </c>
      <c r="V265">
        <v>229</v>
      </c>
      <c r="W265" s="6">
        <f>V265/V321</f>
        <v>0.42407407407407405</v>
      </c>
      <c r="X265" s="6">
        <f>229/$X$3</f>
        <v>0.42407407407407405</v>
      </c>
      <c r="Z265">
        <v>54</v>
      </c>
      <c r="AA265" s="6">
        <f>Z265/Z321</f>
        <v>0.47787610619469029</v>
      </c>
      <c r="AB265" s="6">
        <f>54/$AB$3</f>
        <v>0.47787610619469029</v>
      </c>
      <c r="AD265">
        <v>81</v>
      </c>
      <c r="AE265" s="6">
        <f>AD265/AD321</f>
        <v>0.40909090909090912</v>
      </c>
      <c r="AF265" s="6">
        <f>81/$AF$3</f>
        <v>0.40909090909090912</v>
      </c>
      <c r="AH265">
        <v>106</v>
      </c>
      <c r="AI265" s="6">
        <f>AH265/AH321</f>
        <v>0.4291497975708502</v>
      </c>
      <c r="AJ265" s="6">
        <f>106/$AJ$3</f>
        <v>0.4291497975708502</v>
      </c>
      <c r="AL265">
        <v>101</v>
      </c>
      <c r="AM265" s="6">
        <f>AL265/AL321</f>
        <v>0.43534482758620691</v>
      </c>
      <c r="AN265" s="6">
        <f>101/$AN$3</f>
        <v>0.43534482758620691</v>
      </c>
      <c r="AP265">
        <v>73</v>
      </c>
      <c r="AQ265" s="6">
        <f>AP265/AP321</f>
        <v>0.39247311827956988</v>
      </c>
      <c r="AR265" s="6">
        <f>73/$AR$3</f>
        <v>0.39247311827956988</v>
      </c>
      <c r="AT265">
        <v>45</v>
      </c>
      <c r="AU265" s="6">
        <f>AT265/AT321</f>
        <v>0.36290322580645162</v>
      </c>
      <c r="AV265" s="6">
        <f>45/$AV$3</f>
        <v>0.36290322580645162</v>
      </c>
      <c r="AX265">
        <v>181</v>
      </c>
      <c r="AY265" s="6">
        <f>AX265/AX321</f>
        <v>0.42093023255813955</v>
      </c>
      <c r="AZ265" s="6">
        <f>181/$AZ$3</f>
        <v>0.42093023255813955</v>
      </c>
      <c r="BB265">
        <v>180</v>
      </c>
      <c r="BC265" s="6">
        <f>BB265/BB321</f>
        <v>0.42056074766355139</v>
      </c>
      <c r="BD265" s="6">
        <f>180/$BD$3</f>
        <v>0.42056074766355139</v>
      </c>
      <c r="BF265">
        <v>99</v>
      </c>
      <c r="BG265" s="6">
        <f>BF265/BF321</f>
        <v>0.40909090909090912</v>
      </c>
      <c r="BH265" s="6">
        <f>99/$BH$3</f>
        <v>0.40909090909090912</v>
      </c>
      <c r="BJ265">
        <v>172</v>
      </c>
      <c r="BK265" s="6">
        <f>BJ265/BJ321</f>
        <v>0.42679900744416871</v>
      </c>
      <c r="BL265" s="6">
        <f>172/$BL$3</f>
        <v>0.42679900744416871</v>
      </c>
      <c r="BN265">
        <v>169</v>
      </c>
      <c r="BO265" s="6">
        <f>BN265/BN321</f>
        <v>0.39952718676122934</v>
      </c>
      <c r="BP265" s="6">
        <f>169/$BP$3</f>
        <v>0.39952718676122934</v>
      </c>
      <c r="BR265">
        <v>119</v>
      </c>
      <c r="BS265" s="6">
        <f>BR265/BR321</f>
        <v>0.43430656934306572</v>
      </c>
      <c r="BT265" s="6">
        <f>119/$BT$3</f>
        <v>0.43430656934306572</v>
      </c>
      <c r="BV265">
        <v>133</v>
      </c>
      <c r="BW265" s="6">
        <f>BV265/BV321</f>
        <v>0.43606557377049182</v>
      </c>
      <c r="BX265" s="6">
        <f>133/$BX$3</f>
        <v>0.43606557377049182</v>
      </c>
      <c r="BZ265">
        <v>100</v>
      </c>
      <c r="CA265" s="6">
        <f>BZ265/BZ321</f>
        <v>0.44642857142857145</v>
      </c>
      <c r="CB265" s="6">
        <f>100/$CB$3</f>
        <v>0.44642857142857145</v>
      </c>
      <c r="CD265">
        <v>87</v>
      </c>
      <c r="CE265" s="6">
        <f>CD265/CD321</f>
        <v>0.36099585062240663</v>
      </c>
      <c r="CF265" s="8">
        <f>87/$CF$3</f>
        <v>0.36099585062240663</v>
      </c>
      <c r="CH265">
        <v>140</v>
      </c>
      <c r="CI265" s="6">
        <f>CH265/CH321</f>
        <v>0.42424242424242425</v>
      </c>
      <c r="CJ265" s="6">
        <f>140/$CJ$3</f>
        <v>0.42424242424242425</v>
      </c>
    </row>
    <row r="266" spans="1:88" x14ac:dyDescent="0.35">
      <c r="A266" s="1" t="s">
        <v>580</v>
      </c>
      <c r="B266">
        <v>71</v>
      </c>
      <c r="C266" s="6">
        <f>B266/B321</f>
        <v>6.4545454545454545E-2</v>
      </c>
      <c r="D266" s="6">
        <f>71/$D$3</f>
        <v>6.4545454545454545E-2</v>
      </c>
      <c r="F266">
        <v>61</v>
      </c>
      <c r="G266" s="6">
        <f>F266/F321</f>
        <v>6.6959385290889128E-2</v>
      </c>
      <c r="H266" s="6">
        <f>61/$H$3</f>
        <v>6.6959385290889128E-2</v>
      </c>
      <c r="J266">
        <v>24</v>
      </c>
      <c r="K266" s="6">
        <f>J266/J321</f>
        <v>5.5299539170506916E-2</v>
      </c>
      <c r="L266" s="6">
        <f>24/$L$3</f>
        <v>5.5299539170506916E-2</v>
      </c>
      <c r="N266">
        <v>7</v>
      </c>
      <c r="O266" s="6">
        <f>N266/N321</f>
        <v>8.6419753086419748E-2</v>
      </c>
      <c r="P266" s="6">
        <f>7/$P$3</f>
        <v>8.6419753086419748E-2</v>
      </c>
      <c r="R266">
        <v>38</v>
      </c>
      <c r="S266" s="6">
        <f>R266/R321</f>
        <v>6.7857142857142852E-2</v>
      </c>
      <c r="T266" s="6">
        <f>38/$T$3</f>
        <v>6.7857142857142852E-2</v>
      </c>
      <c r="V266">
        <v>33</v>
      </c>
      <c r="W266" s="6">
        <f>V266/V321</f>
        <v>6.1111111111111109E-2</v>
      </c>
      <c r="X266" s="6">
        <f>33/$X$3</f>
        <v>6.1111111111111109E-2</v>
      </c>
      <c r="Z266">
        <v>9</v>
      </c>
      <c r="AA266" s="6">
        <f>Z266/Z321</f>
        <v>7.9646017699115043E-2</v>
      </c>
      <c r="AB266" s="6">
        <f>9/$AB$3</f>
        <v>7.9646017699115043E-2</v>
      </c>
      <c r="AD266">
        <v>9</v>
      </c>
      <c r="AE266" s="6">
        <f>AD266/AD321</f>
        <v>4.5454545454545456E-2</v>
      </c>
      <c r="AF266" s="6">
        <f>9/$AF$3</f>
        <v>4.5454545454545456E-2</v>
      </c>
      <c r="AH266">
        <v>19</v>
      </c>
      <c r="AI266" s="6">
        <f>AH266/AH321</f>
        <v>7.6923076923076927E-2</v>
      </c>
      <c r="AJ266" s="6">
        <f>19/$AJ$3</f>
        <v>7.6923076923076927E-2</v>
      </c>
      <c r="AL266">
        <v>11</v>
      </c>
      <c r="AM266" s="6">
        <f>AL266/AL321</f>
        <v>4.7413793103448273E-2</v>
      </c>
      <c r="AN266" s="6">
        <f>11/$AN$3</f>
        <v>4.7413793103448273E-2</v>
      </c>
      <c r="AP266">
        <v>10</v>
      </c>
      <c r="AQ266" s="6">
        <f>AP266/AP321</f>
        <v>5.3763440860215055E-2</v>
      </c>
      <c r="AR266" s="6">
        <f>10/$AR$3</f>
        <v>5.3763440860215055E-2</v>
      </c>
      <c r="AT266">
        <v>13</v>
      </c>
      <c r="AU266" s="6">
        <f>AT266/AT321</f>
        <v>0.10483870967741936</v>
      </c>
      <c r="AV266" s="6">
        <f>13/$AV$3</f>
        <v>0.10483870967741936</v>
      </c>
      <c r="AX266">
        <v>29</v>
      </c>
      <c r="AY266" s="6">
        <f>AX266/AX321</f>
        <v>6.7441860465116285E-2</v>
      </c>
      <c r="AZ266" s="6">
        <f>29/$AZ$3</f>
        <v>6.7441860465116285E-2</v>
      </c>
      <c r="BB266">
        <v>24</v>
      </c>
      <c r="BC266" s="6">
        <f>BB266/BB321</f>
        <v>5.6074766355140186E-2</v>
      </c>
      <c r="BD266" s="6">
        <f>24/$BD$3</f>
        <v>5.6074766355140186E-2</v>
      </c>
      <c r="BF266">
        <v>18</v>
      </c>
      <c r="BG266" s="6">
        <f>BF266/BF321</f>
        <v>7.43801652892562E-2</v>
      </c>
      <c r="BH266" s="6">
        <f>18/$BH$3</f>
        <v>7.43801652892562E-2</v>
      </c>
      <c r="BJ266">
        <v>26</v>
      </c>
      <c r="BK266" s="6">
        <f>BJ266/BJ321</f>
        <v>6.4516129032258063E-2</v>
      </c>
      <c r="BL266" s="6">
        <f>26/$BL$3</f>
        <v>6.4516129032258063E-2</v>
      </c>
      <c r="BN266">
        <v>29</v>
      </c>
      <c r="BO266" s="6">
        <f>BN266/BN321</f>
        <v>6.8557919621749411E-2</v>
      </c>
      <c r="BP266" s="6">
        <f>29/$BP$3</f>
        <v>6.8557919621749411E-2</v>
      </c>
      <c r="BR266">
        <v>16</v>
      </c>
      <c r="BS266" s="6">
        <f>BR266/BR321</f>
        <v>5.8394160583941604E-2</v>
      </c>
      <c r="BT266" s="6">
        <f>16/$BT$3</f>
        <v>5.8394160583941604E-2</v>
      </c>
      <c r="BV266">
        <v>24</v>
      </c>
      <c r="BW266" s="6">
        <f>BV266/BV321</f>
        <v>7.8688524590163941E-2</v>
      </c>
      <c r="BX266" s="6">
        <f>24/$BX$3</f>
        <v>7.8688524590163941E-2</v>
      </c>
      <c r="BZ266">
        <v>10</v>
      </c>
      <c r="CA266" s="6">
        <f>BZ266/BZ321</f>
        <v>4.4642857142857144E-2</v>
      </c>
      <c r="CB266" s="6">
        <f>10/$CB$3</f>
        <v>4.4642857142857144E-2</v>
      </c>
      <c r="CD266">
        <v>19</v>
      </c>
      <c r="CE266" s="6">
        <f>CD266/CD321</f>
        <v>7.8838174273858919E-2</v>
      </c>
      <c r="CF266" s="6">
        <f>19/$CF$3</f>
        <v>7.8838174273858919E-2</v>
      </c>
      <c r="CH266">
        <v>18</v>
      </c>
      <c r="CI266" s="6">
        <f>CH266/CH321</f>
        <v>5.4545454545454543E-2</v>
      </c>
      <c r="CJ266" s="6">
        <f>18/$CJ$3</f>
        <v>5.4545454545454543E-2</v>
      </c>
    </row>
    <row r="267" spans="1:88" x14ac:dyDescent="0.35">
      <c r="A267" s="1" t="s">
        <v>581</v>
      </c>
      <c r="B267">
        <v>173</v>
      </c>
      <c r="C267" s="6">
        <f>B267/B321</f>
        <v>0.15727272727272729</v>
      </c>
      <c r="D267" s="6">
        <f>173/$D$3</f>
        <v>0.15727272727272729</v>
      </c>
      <c r="F267">
        <v>101</v>
      </c>
      <c r="G267" s="6">
        <f>F267/F321</f>
        <v>0.11086717892425905</v>
      </c>
      <c r="H267" s="6">
        <f>101/$H$3</f>
        <v>0.11086717892425905</v>
      </c>
      <c r="J267">
        <v>17</v>
      </c>
      <c r="K267" s="6">
        <f>J267/J321</f>
        <v>3.9170506912442393E-2</v>
      </c>
      <c r="L267" s="8">
        <f>17/$L$3</f>
        <v>3.9170506912442393E-2</v>
      </c>
      <c r="N267">
        <v>6</v>
      </c>
      <c r="O267" s="6">
        <f>N267/N321</f>
        <v>7.407407407407407E-2</v>
      </c>
      <c r="P267" s="8">
        <f>6/$P$3</f>
        <v>7.407407407407407E-2</v>
      </c>
      <c r="R267">
        <v>94</v>
      </c>
      <c r="S267" s="6">
        <f>R267/R321</f>
        <v>0.16785714285714284</v>
      </c>
      <c r="T267" s="6">
        <f>94/$T$3</f>
        <v>0.16785714285714284</v>
      </c>
      <c r="V267">
        <v>79</v>
      </c>
      <c r="W267" s="6">
        <f>V267/V321</f>
        <v>0.14629629629629629</v>
      </c>
      <c r="X267" s="6">
        <f>79/$X$3</f>
        <v>0.14629629629629629</v>
      </c>
      <c r="Z267">
        <v>7</v>
      </c>
      <c r="AA267" s="6">
        <f>Z267/Z321</f>
        <v>6.1946902654867256E-2</v>
      </c>
      <c r="AB267" s="8">
        <f>7/$AB$3</f>
        <v>6.1946902654867256E-2</v>
      </c>
      <c r="AD267">
        <v>26</v>
      </c>
      <c r="AE267" s="6">
        <f>AD267/AD321</f>
        <v>0.13131313131313133</v>
      </c>
      <c r="AF267" s="6">
        <f>26/$AF$3</f>
        <v>0.13131313131313133</v>
      </c>
      <c r="AH267">
        <v>34</v>
      </c>
      <c r="AI267" s="6">
        <f>AH267/AH321</f>
        <v>0.13765182186234817</v>
      </c>
      <c r="AJ267" s="6">
        <f>34/$AJ$3</f>
        <v>0.13765182186234817</v>
      </c>
      <c r="AL267">
        <v>31</v>
      </c>
      <c r="AM267" s="6">
        <f>AL267/AL321</f>
        <v>0.1336206896551724</v>
      </c>
      <c r="AN267" s="6">
        <f>31/$AN$3</f>
        <v>0.1336206896551724</v>
      </c>
      <c r="AP267">
        <v>46</v>
      </c>
      <c r="AQ267" s="6">
        <f>AP267/AP321</f>
        <v>0.24731182795698925</v>
      </c>
      <c r="AR267" s="9">
        <f>46/$AR$3</f>
        <v>0.24731182795698925</v>
      </c>
      <c r="AS267" s="7"/>
      <c r="AT267">
        <v>29</v>
      </c>
      <c r="AU267" s="6">
        <f>AT267/AT321</f>
        <v>0.23387096774193547</v>
      </c>
      <c r="AV267" s="9">
        <f>29/$AV$3</f>
        <v>0.23387096774193547</v>
      </c>
      <c r="AW267" s="7"/>
      <c r="AX267">
        <v>57</v>
      </c>
      <c r="AY267" s="6">
        <f>AX267/AX321</f>
        <v>0.13255813953488371</v>
      </c>
      <c r="AZ267" s="6">
        <f>57/$AZ$3</f>
        <v>0.13255813953488371</v>
      </c>
      <c r="BB267">
        <v>64</v>
      </c>
      <c r="BC267" s="6">
        <f>BB267/BB321</f>
        <v>0.14953271028037382</v>
      </c>
      <c r="BD267" s="6">
        <f>64/$BD$3</f>
        <v>0.14953271028037382</v>
      </c>
      <c r="BF267">
        <v>52</v>
      </c>
      <c r="BG267" s="6">
        <f>BF267/BF321</f>
        <v>0.21487603305785125</v>
      </c>
      <c r="BH267" s="9">
        <f>52/$BH$3</f>
        <v>0.21487603305785125</v>
      </c>
      <c r="BJ267">
        <v>61</v>
      </c>
      <c r="BK267" s="6">
        <f>BJ267/BJ321</f>
        <v>0.15136476426799009</v>
      </c>
      <c r="BL267" s="6">
        <f>61/$BL$3</f>
        <v>0.15136476426799009</v>
      </c>
      <c r="BN267">
        <v>71</v>
      </c>
      <c r="BO267" s="6">
        <f>BN267/BN321</f>
        <v>0.16784869976359337</v>
      </c>
      <c r="BP267" s="6">
        <f>71/$BP$3</f>
        <v>0.16784869976359337</v>
      </c>
      <c r="BR267">
        <v>41</v>
      </c>
      <c r="BS267" s="6">
        <f>BR267/BR321</f>
        <v>0.14963503649635038</v>
      </c>
      <c r="BT267" s="6">
        <f>41/$BT$3</f>
        <v>0.14963503649635038</v>
      </c>
      <c r="BV267">
        <v>46</v>
      </c>
      <c r="BW267" s="6">
        <f>BV267/BV321</f>
        <v>0.15081967213114755</v>
      </c>
      <c r="BX267" s="6">
        <f>46/$BX$3</f>
        <v>0.15081967213114755</v>
      </c>
      <c r="BZ267">
        <v>27</v>
      </c>
      <c r="CA267" s="6">
        <f>BZ267/BZ321</f>
        <v>0.12053571428571429</v>
      </c>
      <c r="CB267" s="6">
        <f>27/$CB$3</f>
        <v>0.12053571428571429</v>
      </c>
      <c r="CD267">
        <v>45</v>
      </c>
      <c r="CE267" s="6">
        <f>CD267/CD321</f>
        <v>0.18672199170124482</v>
      </c>
      <c r="CF267" s="6">
        <f>45/$CF$3</f>
        <v>0.18672199170124482</v>
      </c>
      <c r="CH267">
        <v>55</v>
      </c>
      <c r="CI267" s="6">
        <f>CH267/CH321</f>
        <v>0.16666666666666666</v>
      </c>
      <c r="CJ267" s="6">
        <f>55/$CJ$3</f>
        <v>0.16666666666666666</v>
      </c>
    </row>
    <row r="269" spans="1:88" x14ac:dyDescent="0.35">
      <c r="A269" s="1" t="s">
        <v>582</v>
      </c>
      <c r="B269">
        <v>201</v>
      </c>
      <c r="C269" s="6">
        <f>B269/B321</f>
        <v>0.18272727272727274</v>
      </c>
      <c r="D269" s="6">
        <f>201/$D$3</f>
        <v>0.18272727272727274</v>
      </c>
      <c r="F269">
        <v>190</v>
      </c>
      <c r="G269" s="6">
        <f>F269/F321</f>
        <v>0.20856201975850713</v>
      </c>
      <c r="H269" s="6">
        <f>190/$H$3</f>
        <v>0.20856201975850713</v>
      </c>
      <c r="J269">
        <v>109</v>
      </c>
      <c r="K269" s="6">
        <f>J269/J321</f>
        <v>0.25115207373271892</v>
      </c>
      <c r="L269" s="9">
        <f>109/$L$3</f>
        <v>0.25115207373271892</v>
      </c>
      <c r="N269">
        <v>12</v>
      </c>
      <c r="O269" s="6">
        <f>N269/N321</f>
        <v>0.14814814814814814</v>
      </c>
      <c r="P269" s="6">
        <f>12/$P$3</f>
        <v>0.14814814814814814</v>
      </c>
      <c r="R269">
        <v>105</v>
      </c>
      <c r="S269" s="6">
        <f>R269/R321</f>
        <v>0.1875</v>
      </c>
      <c r="T269" s="6">
        <f>105/$T$3</f>
        <v>0.1875</v>
      </c>
      <c r="V269">
        <v>96</v>
      </c>
      <c r="W269" s="6">
        <f>V269/V321</f>
        <v>0.17777777777777778</v>
      </c>
      <c r="X269" s="6">
        <f>96/$X$3</f>
        <v>0.17777777777777778</v>
      </c>
      <c r="Z269">
        <v>28</v>
      </c>
      <c r="AA269" s="6">
        <f>Z269/Z321</f>
        <v>0.24778761061946902</v>
      </c>
      <c r="AB269" s="6">
        <f>28/$AB$3</f>
        <v>0.24778761061946902</v>
      </c>
      <c r="AC269" s="7"/>
      <c r="AD269">
        <v>43</v>
      </c>
      <c r="AE269" s="6">
        <f>AD269/AD321</f>
        <v>0.21717171717171718</v>
      </c>
      <c r="AF269" s="6">
        <f>43/$AF$3</f>
        <v>0.21717171717171718</v>
      </c>
      <c r="AG269" s="7"/>
      <c r="AH269">
        <v>47</v>
      </c>
      <c r="AI269" s="6">
        <f>AH269/AH321</f>
        <v>0.19028340080971659</v>
      </c>
      <c r="AJ269" s="6">
        <f>47/$AJ$3</f>
        <v>0.19028340080971659</v>
      </c>
      <c r="AK269" s="7"/>
      <c r="AL269">
        <v>48</v>
      </c>
      <c r="AM269" s="6">
        <f>AL269/AL321</f>
        <v>0.20689655172413793</v>
      </c>
      <c r="AN269" s="6">
        <f>48/$AN$3</f>
        <v>0.20689655172413793</v>
      </c>
      <c r="AO269" s="7"/>
      <c r="AP269">
        <v>25</v>
      </c>
      <c r="AQ269" s="6">
        <f>AP269/AP321</f>
        <v>0.13440860215053763</v>
      </c>
      <c r="AR269" s="6">
        <f>25/$AR$3</f>
        <v>0.13440860215053763</v>
      </c>
      <c r="AT269">
        <v>10</v>
      </c>
      <c r="AU269" s="6">
        <f>AT269/AT321</f>
        <v>8.0645161290322578E-2</v>
      </c>
      <c r="AV269" s="8">
        <f>10/$AV$3</f>
        <v>8.0645161290322578E-2</v>
      </c>
      <c r="AX269">
        <v>98</v>
      </c>
      <c r="AY269" s="6">
        <f>AX269/AX321</f>
        <v>0.22790697674418606</v>
      </c>
      <c r="AZ269" s="6">
        <f>98/$AZ$3</f>
        <v>0.22790697674418606</v>
      </c>
      <c r="BA269" s="7" t="s">
        <v>5</v>
      </c>
      <c r="BB269">
        <v>72</v>
      </c>
      <c r="BC269" s="6">
        <f>BB269/BB321</f>
        <v>0.16822429906542055</v>
      </c>
      <c r="BD269" s="6">
        <f>72/$BD$3</f>
        <v>0.16822429906542055</v>
      </c>
      <c r="BF269">
        <v>31</v>
      </c>
      <c r="BG269" s="6">
        <f>BF269/BF321</f>
        <v>0.128099173553719</v>
      </c>
      <c r="BH269" s="8">
        <f>31/$BH$3</f>
        <v>0.128099173553719</v>
      </c>
      <c r="BJ269">
        <v>71</v>
      </c>
      <c r="BK269" s="6">
        <f>BJ269/BJ321</f>
        <v>0.17617866004962779</v>
      </c>
      <c r="BL269" s="6">
        <f>71/$BL$3</f>
        <v>0.17617866004962779</v>
      </c>
      <c r="BN269">
        <v>84</v>
      </c>
      <c r="BO269" s="6">
        <f>BN269/BN321</f>
        <v>0.19858156028368795</v>
      </c>
      <c r="BP269" s="6">
        <f>84/$BP$3</f>
        <v>0.19858156028368795</v>
      </c>
      <c r="BR269">
        <v>46</v>
      </c>
      <c r="BS269" s="6">
        <f>BR269/BR321</f>
        <v>0.16788321167883211</v>
      </c>
      <c r="BT269" s="6">
        <f>46/$BT$3</f>
        <v>0.16788321167883211</v>
      </c>
      <c r="BV269">
        <v>52</v>
      </c>
      <c r="BW269" s="6">
        <f>BV269/BV321</f>
        <v>0.17049180327868851</v>
      </c>
      <c r="BX269" s="6">
        <f>52/$BX$3</f>
        <v>0.17049180327868851</v>
      </c>
      <c r="BZ269">
        <v>47</v>
      </c>
      <c r="CA269" s="6">
        <f>BZ269/BZ321</f>
        <v>0.20982142857142858</v>
      </c>
      <c r="CB269" s="6">
        <f>47/$CB$3</f>
        <v>0.20982142857142858</v>
      </c>
      <c r="CD269">
        <v>45</v>
      </c>
      <c r="CE269" s="6">
        <f>CD269/CD321</f>
        <v>0.18672199170124482</v>
      </c>
      <c r="CF269" s="6">
        <f>45/$CF$3</f>
        <v>0.18672199170124482</v>
      </c>
      <c r="CH269">
        <v>57</v>
      </c>
      <c r="CI269" s="6">
        <f>CH269/CH321</f>
        <v>0.17272727272727273</v>
      </c>
      <c r="CJ269" s="6">
        <f>57/$CJ$3</f>
        <v>0.17272727272727273</v>
      </c>
    </row>
    <row r="270" spans="1:88" x14ac:dyDescent="0.35">
      <c r="A270" s="1" t="s">
        <v>583</v>
      </c>
      <c r="B270">
        <v>465</v>
      </c>
      <c r="C270" s="6">
        <f>B270/B321</f>
        <v>0.42272727272727273</v>
      </c>
      <c r="D270" s="6">
        <f>465/$D$3</f>
        <v>0.42272727272727273</v>
      </c>
      <c r="F270">
        <v>400</v>
      </c>
      <c r="G270" s="6">
        <f>F270/F321</f>
        <v>0.43907793633369924</v>
      </c>
      <c r="H270" s="6">
        <f>400/$H$3</f>
        <v>0.43907793633369924</v>
      </c>
      <c r="J270">
        <v>196</v>
      </c>
      <c r="K270" s="6">
        <f>J270/J321</f>
        <v>0.45161290322580644</v>
      </c>
      <c r="L270" s="6">
        <f>196/$L$3</f>
        <v>0.45161290322580644</v>
      </c>
      <c r="N270">
        <v>38</v>
      </c>
      <c r="O270" s="6">
        <f>N270/N321</f>
        <v>0.46913580246913578</v>
      </c>
      <c r="P270" s="6">
        <f>38/$P$3</f>
        <v>0.46913580246913578</v>
      </c>
      <c r="R270">
        <v>226</v>
      </c>
      <c r="S270" s="6">
        <f>R270/R321</f>
        <v>0.40357142857142858</v>
      </c>
      <c r="T270" s="6">
        <f>226/$T$3</f>
        <v>0.40357142857142858</v>
      </c>
      <c r="V270">
        <v>239</v>
      </c>
      <c r="W270" s="6">
        <f>V270/V321</f>
        <v>0.44259259259259259</v>
      </c>
      <c r="X270" s="6">
        <f>239/$X$3</f>
        <v>0.44259259259259259</v>
      </c>
      <c r="Z270">
        <v>55</v>
      </c>
      <c r="AA270" s="6">
        <f>Z270/Z321</f>
        <v>0.48672566371681414</v>
      </c>
      <c r="AB270" s="6">
        <f>55/$AB$3</f>
        <v>0.48672566371681414</v>
      </c>
      <c r="AD270">
        <v>93</v>
      </c>
      <c r="AE270" s="6">
        <f>AD270/AD321</f>
        <v>0.46969696969696972</v>
      </c>
      <c r="AF270" s="6">
        <f>93/$AF$3</f>
        <v>0.46969696969696972</v>
      </c>
      <c r="AH270">
        <v>112</v>
      </c>
      <c r="AI270" s="6">
        <f>AH270/AH321</f>
        <v>0.45344129554655871</v>
      </c>
      <c r="AJ270" s="6">
        <f>112/$AJ$3</f>
        <v>0.45344129554655871</v>
      </c>
      <c r="AL270">
        <v>97</v>
      </c>
      <c r="AM270" s="6">
        <f>AL270/AL321</f>
        <v>0.41810344827586204</v>
      </c>
      <c r="AN270" s="6">
        <f>97/$AN$3</f>
        <v>0.41810344827586204</v>
      </c>
      <c r="AP270">
        <v>67</v>
      </c>
      <c r="AQ270" s="6">
        <f>AP270/AP321</f>
        <v>0.36021505376344087</v>
      </c>
      <c r="AR270" s="6">
        <f>67/$AR$3</f>
        <v>0.36021505376344087</v>
      </c>
      <c r="AT270">
        <v>41</v>
      </c>
      <c r="AU270" s="6">
        <f>AT270/AT321</f>
        <v>0.33064516129032256</v>
      </c>
      <c r="AV270" s="8">
        <f>41/$AV$3</f>
        <v>0.33064516129032256</v>
      </c>
      <c r="AX270">
        <v>183</v>
      </c>
      <c r="AY270" s="6">
        <f>AX270/AX321</f>
        <v>0.42558139534883721</v>
      </c>
      <c r="AZ270" s="6">
        <f>183/$AZ$3</f>
        <v>0.42558139534883721</v>
      </c>
      <c r="BB270">
        <v>183</v>
      </c>
      <c r="BC270" s="6">
        <f>BB270/BB321</f>
        <v>0.42757009345794394</v>
      </c>
      <c r="BD270" s="6">
        <f>183/$BD$3</f>
        <v>0.42757009345794394</v>
      </c>
      <c r="BF270">
        <v>99</v>
      </c>
      <c r="BG270" s="6">
        <f>BF270/BF321</f>
        <v>0.40909090909090912</v>
      </c>
      <c r="BH270" s="6">
        <f>99/$BH$3</f>
        <v>0.40909090909090912</v>
      </c>
      <c r="BJ270">
        <v>170</v>
      </c>
      <c r="BK270" s="6">
        <f>BJ270/BJ321</f>
        <v>0.42183622828784118</v>
      </c>
      <c r="BL270" s="6">
        <f>170/$BL$3</f>
        <v>0.42183622828784118</v>
      </c>
      <c r="BN270">
        <v>165</v>
      </c>
      <c r="BO270" s="6">
        <f>BN270/BN321</f>
        <v>0.39007092198581561</v>
      </c>
      <c r="BP270" s="6">
        <f>165/$BP$3</f>
        <v>0.39007092198581561</v>
      </c>
      <c r="BR270">
        <v>130</v>
      </c>
      <c r="BS270" s="6">
        <f>BR270/BR321</f>
        <v>0.47445255474452552</v>
      </c>
      <c r="BT270" s="9">
        <f>130/$BT$3</f>
        <v>0.47445255474452552</v>
      </c>
      <c r="BV270">
        <v>133</v>
      </c>
      <c r="BW270" s="6">
        <f>BV270/BV321</f>
        <v>0.43606557377049182</v>
      </c>
      <c r="BX270" s="6">
        <f>133/$BX$3</f>
        <v>0.43606557377049182</v>
      </c>
      <c r="BZ270">
        <v>93</v>
      </c>
      <c r="CA270" s="6">
        <f>BZ270/BZ321</f>
        <v>0.41517857142857145</v>
      </c>
      <c r="CB270" s="6">
        <f>93/$CB$3</f>
        <v>0.41517857142857145</v>
      </c>
      <c r="CD270">
        <v>105</v>
      </c>
      <c r="CE270" s="6">
        <f>CD270/CD321</f>
        <v>0.43568464730290457</v>
      </c>
      <c r="CF270" s="6">
        <f>105/$CF$3</f>
        <v>0.43568464730290457</v>
      </c>
      <c r="CH270">
        <v>134</v>
      </c>
      <c r="CI270" s="6">
        <f>CH270/CH321</f>
        <v>0.40606060606060607</v>
      </c>
      <c r="CJ270" s="6">
        <f>134/$CJ$3</f>
        <v>0.40606060606060607</v>
      </c>
    </row>
    <row r="271" spans="1:88" x14ac:dyDescent="0.35">
      <c r="A271" s="1" t="s">
        <v>584</v>
      </c>
      <c r="B271">
        <v>228</v>
      </c>
      <c r="C271" s="6">
        <f>B271/B321</f>
        <v>0.20727272727272728</v>
      </c>
      <c r="D271" s="6">
        <f>228/$D$3</f>
        <v>0.20727272727272728</v>
      </c>
      <c r="F271">
        <v>188</v>
      </c>
      <c r="G271" s="6">
        <f>F271/F321</f>
        <v>0.20636663007683864</v>
      </c>
      <c r="H271" s="6">
        <f>188/$H$3</f>
        <v>0.20636663007683864</v>
      </c>
      <c r="J271">
        <v>91</v>
      </c>
      <c r="K271" s="6">
        <f>J271/J321</f>
        <v>0.20967741935483872</v>
      </c>
      <c r="L271" s="6">
        <f>91/$L$3</f>
        <v>0.20967741935483872</v>
      </c>
      <c r="N271">
        <v>20</v>
      </c>
      <c r="O271" s="6">
        <f>N271/N321</f>
        <v>0.24691358024691357</v>
      </c>
      <c r="P271" s="6">
        <f>20/$P$3</f>
        <v>0.24691358024691357</v>
      </c>
      <c r="R271">
        <v>119</v>
      </c>
      <c r="S271" s="6">
        <f>R271/R321</f>
        <v>0.21249999999999999</v>
      </c>
      <c r="T271" s="6">
        <f>119/$T$3</f>
        <v>0.21249999999999999</v>
      </c>
      <c r="V271">
        <v>109</v>
      </c>
      <c r="W271" s="6">
        <f>V271/V321</f>
        <v>0.20185185185185187</v>
      </c>
      <c r="X271" s="6">
        <f>109/$X$3</f>
        <v>0.20185185185185187</v>
      </c>
      <c r="Z271">
        <v>22</v>
      </c>
      <c r="AA271" s="6">
        <f>Z271/Z321</f>
        <v>0.19469026548672566</v>
      </c>
      <c r="AB271" s="6">
        <f>22/$AB$3</f>
        <v>0.19469026548672566</v>
      </c>
      <c r="AD271">
        <v>38</v>
      </c>
      <c r="AE271" s="6">
        <f>AD271/AD321</f>
        <v>0.19191919191919191</v>
      </c>
      <c r="AF271" s="6">
        <f>38/$AF$3</f>
        <v>0.19191919191919191</v>
      </c>
      <c r="AH271">
        <v>45</v>
      </c>
      <c r="AI271" s="6">
        <f>AH271/AH321</f>
        <v>0.18218623481781376</v>
      </c>
      <c r="AJ271" s="6">
        <f>45/$AJ$3</f>
        <v>0.18218623481781376</v>
      </c>
      <c r="AL271">
        <v>47</v>
      </c>
      <c r="AM271" s="6">
        <f>AL271/AL321</f>
        <v>0.20258620689655171</v>
      </c>
      <c r="AN271" s="6">
        <f>47/$AN$3</f>
        <v>0.20258620689655171</v>
      </c>
      <c r="AP271">
        <v>40</v>
      </c>
      <c r="AQ271" s="6">
        <f>AP271/AP321</f>
        <v>0.21505376344086022</v>
      </c>
      <c r="AR271" s="6">
        <f>40/$AR$3</f>
        <v>0.21505376344086022</v>
      </c>
      <c r="AT271">
        <v>36</v>
      </c>
      <c r="AU271" s="6">
        <f>AT271/AT321</f>
        <v>0.29032258064516131</v>
      </c>
      <c r="AV271" s="9">
        <f>36/$AV$3</f>
        <v>0.29032258064516131</v>
      </c>
      <c r="AX271">
        <v>75</v>
      </c>
      <c r="AY271" s="6">
        <f>AX271/AX321</f>
        <v>0.1744186046511628</v>
      </c>
      <c r="AZ271" s="6">
        <f>75/$AZ$3</f>
        <v>0.1744186046511628</v>
      </c>
      <c r="BB271">
        <v>96</v>
      </c>
      <c r="BC271" s="6">
        <f>BB271/BB321</f>
        <v>0.22429906542056074</v>
      </c>
      <c r="BD271" s="6">
        <f>96/$BD$3</f>
        <v>0.22429906542056074</v>
      </c>
      <c r="BF271">
        <v>57</v>
      </c>
      <c r="BG271" s="6">
        <f>BF271/BF321</f>
        <v>0.23553719008264462</v>
      </c>
      <c r="BH271" s="6">
        <f>57/$BH$3</f>
        <v>0.23553719008264462</v>
      </c>
      <c r="BJ271">
        <v>86</v>
      </c>
      <c r="BK271" s="6">
        <f>BJ271/BJ321</f>
        <v>0.21339950372208435</v>
      </c>
      <c r="BL271" s="6">
        <f>86/$BL$3</f>
        <v>0.21339950372208435</v>
      </c>
      <c r="BN271">
        <v>92</v>
      </c>
      <c r="BO271" s="6">
        <f>BN271/BN321</f>
        <v>0.21749408983451538</v>
      </c>
      <c r="BP271" s="6">
        <f>92/$BP$3</f>
        <v>0.21749408983451538</v>
      </c>
      <c r="BR271">
        <v>50</v>
      </c>
      <c r="BS271" s="6">
        <f>BR271/BR321</f>
        <v>0.18248175182481752</v>
      </c>
      <c r="BT271" s="6">
        <f>50/$BT$3</f>
        <v>0.18248175182481752</v>
      </c>
      <c r="BV271">
        <v>61</v>
      </c>
      <c r="BW271" s="6">
        <f>BV271/BV321</f>
        <v>0.2</v>
      </c>
      <c r="BX271" s="6">
        <f>61/$BX$3</f>
        <v>0.2</v>
      </c>
      <c r="BZ271">
        <v>44</v>
      </c>
      <c r="CA271" s="6">
        <f>BZ271/BZ321</f>
        <v>0.19642857142857142</v>
      </c>
      <c r="CB271" s="6">
        <f>44/$CB$3</f>
        <v>0.19642857142857142</v>
      </c>
      <c r="CD271">
        <v>48</v>
      </c>
      <c r="CE271" s="6">
        <f>CD271/CD321</f>
        <v>0.19917012448132779</v>
      </c>
      <c r="CF271" s="6">
        <f>48/$CF$3</f>
        <v>0.19917012448132779</v>
      </c>
      <c r="CH271">
        <v>75</v>
      </c>
      <c r="CI271" s="6">
        <f>CH271/CH321</f>
        <v>0.22727272727272727</v>
      </c>
      <c r="CJ271" s="6">
        <f>75/$CJ$3</f>
        <v>0.22727272727272727</v>
      </c>
    </row>
    <row r="272" spans="1:88" x14ac:dyDescent="0.35">
      <c r="A272" s="1" t="s">
        <v>585</v>
      </c>
      <c r="B272">
        <v>206</v>
      </c>
      <c r="C272" s="6">
        <f>B272/B321</f>
        <v>0.18727272727272729</v>
      </c>
      <c r="D272" s="6">
        <f>206/$D$3</f>
        <v>0.18727272727272729</v>
      </c>
      <c r="F272">
        <v>133</v>
      </c>
      <c r="G272" s="6">
        <f>F272/F321</f>
        <v>0.14599341383095499</v>
      </c>
      <c r="H272" s="6">
        <f>133/$H$3</f>
        <v>0.14599341383095499</v>
      </c>
      <c r="J272">
        <v>38</v>
      </c>
      <c r="K272" s="6">
        <f>J272/J321</f>
        <v>8.755760368663594E-2</v>
      </c>
      <c r="L272" s="8">
        <f>38/$L$3</f>
        <v>8.755760368663594E-2</v>
      </c>
      <c r="N272">
        <v>11</v>
      </c>
      <c r="O272" s="6">
        <f>N272/N321</f>
        <v>0.13580246913580246</v>
      </c>
      <c r="P272" s="6">
        <f>11/$P$3</f>
        <v>0.13580246913580246</v>
      </c>
      <c r="R272">
        <v>110</v>
      </c>
      <c r="S272" s="6">
        <f>R272/R321</f>
        <v>0.19642857142857142</v>
      </c>
      <c r="T272" s="6">
        <f>110/$T$3</f>
        <v>0.19642857142857142</v>
      </c>
      <c r="V272">
        <v>96</v>
      </c>
      <c r="W272" s="6">
        <f>V272/V321</f>
        <v>0.17777777777777778</v>
      </c>
      <c r="X272" s="6">
        <f>96/$X$3</f>
        <v>0.17777777777777778</v>
      </c>
      <c r="Z272">
        <v>8</v>
      </c>
      <c r="AA272" s="6">
        <f>Z272/Z321</f>
        <v>7.0796460176991149E-2</v>
      </c>
      <c r="AB272" s="8">
        <f>8/$AB$3</f>
        <v>7.0796460176991149E-2</v>
      </c>
      <c r="AD272">
        <v>24</v>
      </c>
      <c r="AE272" s="6">
        <f>AD272/AD321</f>
        <v>0.12121212121212122</v>
      </c>
      <c r="AF272" s="8">
        <f>24/$AF$3</f>
        <v>0.12121212121212122</v>
      </c>
      <c r="AH272">
        <v>43</v>
      </c>
      <c r="AI272" s="6">
        <f>AH272/AH321</f>
        <v>0.17408906882591094</v>
      </c>
      <c r="AJ272" s="6">
        <f>43/$AJ$3</f>
        <v>0.17408906882591094</v>
      </c>
      <c r="AK272" s="7"/>
      <c r="AL272">
        <v>40</v>
      </c>
      <c r="AM272" s="6">
        <f>AL272/AL321</f>
        <v>0.17241379310344829</v>
      </c>
      <c r="AN272" s="6">
        <f>40/$AN$3</f>
        <v>0.17241379310344829</v>
      </c>
      <c r="AO272" s="7"/>
      <c r="AP272">
        <v>54</v>
      </c>
      <c r="AQ272" s="6">
        <f>AP272/AP321</f>
        <v>0.29032258064516131</v>
      </c>
      <c r="AR272" s="9">
        <f>54/$AR$3</f>
        <v>0.29032258064516131</v>
      </c>
      <c r="AS272" s="7"/>
      <c r="AT272">
        <v>37</v>
      </c>
      <c r="AU272" s="6">
        <f>AT272/AT321</f>
        <v>0.29838709677419356</v>
      </c>
      <c r="AV272" s="9">
        <f>37/$AV$3</f>
        <v>0.29838709677419356</v>
      </c>
      <c r="AW272" s="7"/>
      <c r="AX272">
        <v>74</v>
      </c>
      <c r="AY272" s="6">
        <f>AX272/AX321</f>
        <v>0.17209302325581396</v>
      </c>
      <c r="AZ272" s="6">
        <f>74/$AZ$3</f>
        <v>0.17209302325581396</v>
      </c>
      <c r="BB272">
        <v>77</v>
      </c>
      <c r="BC272" s="6">
        <f>BB272/BB321</f>
        <v>0.17990654205607476</v>
      </c>
      <c r="BD272" s="6">
        <f>77/$BD$3</f>
        <v>0.17990654205607476</v>
      </c>
      <c r="BF272">
        <v>55</v>
      </c>
      <c r="BG272" s="6">
        <f>BF272/BF321</f>
        <v>0.22727272727272727</v>
      </c>
      <c r="BH272" s="6">
        <f>55/$BH$3</f>
        <v>0.22727272727272727</v>
      </c>
      <c r="BJ272">
        <v>76</v>
      </c>
      <c r="BK272" s="6">
        <f>BJ272/BJ321</f>
        <v>0.18858560794044665</v>
      </c>
      <c r="BL272" s="6">
        <f>76/$BL$3</f>
        <v>0.18858560794044665</v>
      </c>
      <c r="BN272">
        <v>82</v>
      </c>
      <c r="BO272" s="6">
        <f>BN272/BN321</f>
        <v>0.19385342789598109</v>
      </c>
      <c r="BP272" s="6">
        <f>82/$BP$3</f>
        <v>0.19385342789598109</v>
      </c>
      <c r="BR272">
        <v>48</v>
      </c>
      <c r="BS272" s="6">
        <f>BR272/BR321</f>
        <v>0.17518248175182483</v>
      </c>
      <c r="BT272" s="6">
        <f>48/$BT$3</f>
        <v>0.17518248175182483</v>
      </c>
      <c r="BV272">
        <v>59</v>
      </c>
      <c r="BW272" s="6">
        <f>BV272/BV321</f>
        <v>0.19344262295081968</v>
      </c>
      <c r="BX272" s="6">
        <f>59/$BX$3</f>
        <v>0.19344262295081968</v>
      </c>
      <c r="BZ272">
        <v>40</v>
      </c>
      <c r="CA272" s="6">
        <f>BZ272/BZ321</f>
        <v>0.17857142857142858</v>
      </c>
      <c r="CB272" s="6">
        <f>40/$CB$3</f>
        <v>0.17857142857142858</v>
      </c>
      <c r="CD272">
        <v>43</v>
      </c>
      <c r="CE272" s="6">
        <f>CD272/CD321</f>
        <v>0.17842323651452283</v>
      </c>
      <c r="CF272" s="6">
        <f>43/$CF$3</f>
        <v>0.17842323651452283</v>
      </c>
      <c r="CH272">
        <v>64</v>
      </c>
      <c r="CI272" s="6">
        <f>CH272/CH321</f>
        <v>0.19393939393939394</v>
      </c>
      <c r="CJ272" s="6">
        <f>64/$CJ$3</f>
        <v>0.19393939393939394</v>
      </c>
    </row>
    <row r="274" spans="1:88" x14ac:dyDescent="0.35">
      <c r="A274" s="1" t="s">
        <v>586</v>
      </c>
      <c r="B274">
        <v>315</v>
      </c>
      <c r="C274" s="6">
        <f>B274/B321</f>
        <v>0.28636363636363638</v>
      </c>
      <c r="D274" s="6">
        <f>315/$D$3</f>
        <v>0.28636363636363638</v>
      </c>
      <c r="F274">
        <v>290</v>
      </c>
      <c r="G274" s="6">
        <f>F274/F321</f>
        <v>0.31833150384193193</v>
      </c>
      <c r="H274" s="6">
        <f>290/$H$3</f>
        <v>0.31833150384193193</v>
      </c>
      <c r="J274">
        <v>157</v>
      </c>
      <c r="K274" s="6">
        <f>J274/J321</f>
        <v>0.36175115207373271</v>
      </c>
      <c r="L274" s="9">
        <f>157/$L$3</f>
        <v>0.36175115207373271</v>
      </c>
      <c r="N274">
        <v>23</v>
      </c>
      <c r="O274" s="6">
        <f>N274/N321</f>
        <v>0.2839506172839506</v>
      </c>
      <c r="P274" s="6">
        <f>23/$P$3</f>
        <v>0.2839506172839506</v>
      </c>
      <c r="R274">
        <v>157</v>
      </c>
      <c r="S274" s="6">
        <f>R274/R321</f>
        <v>0.28035714285714286</v>
      </c>
      <c r="T274" s="6">
        <f>157/$T$3</f>
        <v>0.28035714285714286</v>
      </c>
      <c r="V274">
        <v>158</v>
      </c>
      <c r="W274" s="6">
        <f>V274/V321</f>
        <v>0.29259259259259257</v>
      </c>
      <c r="X274" s="6">
        <f>158/$X$3</f>
        <v>0.29259259259259257</v>
      </c>
      <c r="Z274">
        <v>38</v>
      </c>
      <c r="AA274" s="6">
        <f>Z274/Z321</f>
        <v>0.33628318584070799</v>
      </c>
      <c r="AB274" s="6">
        <f>38/$AB$3</f>
        <v>0.33628318584070799</v>
      </c>
      <c r="AC274" s="7"/>
      <c r="AD274">
        <v>56</v>
      </c>
      <c r="AE274" s="6">
        <f>AD274/AD321</f>
        <v>0.28282828282828282</v>
      </c>
      <c r="AF274" s="6">
        <f>56/$AF$3</f>
        <v>0.28282828282828282</v>
      </c>
      <c r="AG274" s="7"/>
      <c r="AH274">
        <v>88</v>
      </c>
      <c r="AI274" s="6">
        <f>AH274/AH321</f>
        <v>0.35627530364372467</v>
      </c>
      <c r="AJ274" s="9">
        <f>88/$AJ$3</f>
        <v>0.35627530364372467</v>
      </c>
      <c r="AK274" s="7"/>
      <c r="AL274">
        <v>73</v>
      </c>
      <c r="AM274" s="6">
        <f>AL274/AL321</f>
        <v>0.31465517241379309</v>
      </c>
      <c r="AN274" s="6">
        <f>73/$AN$3</f>
        <v>0.31465517241379309</v>
      </c>
      <c r="AO274" s="7"/>
      <c r="AP274">
        <v>42</v>
      </c>
      <c r="AQ274" s="6">
        <f>AP274/AP321</f>
        <v>0.22580645161290322</v>
      </c>
      <c r="AR274" s="8">
        <f>42/$AR$3</f>
        <v>0.22580645161290322</v>
      </c>
      <c r="AT274">
        <v>18</v>
      </c>
      <c r="AU274" s="6">
        <f>AT274/AT321</f>
        <v>0.14516129032258066</v>
      </c>
      <c r="AV274" s="8">
        <f>18/$AV$3</f>
        <v>0.14516129032258066</v>
      </c>
      <c r="AX274">
        <v>135</v>
      </c>
      <c r="AY274" s="6">
        <f>AX274/AX321</f>
        <v>0.31395348837209303</v>
      </c>
      <c r="AZ274" s="6">
        <f>135/$AZ$3</f>
        <v>0.31395348837209303</v>
      </c>
      <c r="BB274">
        <v>114</v>
      </c>
      <c r="BC274" s="6">
        <f>BB274/BB321</f>
        <v>0.26635514018691586</v>
      </c>
      <c r="BD274" s="6">
        <f>114/$BD$3</f>
        <v>0.26635514018691586</v>
      </c>
      <c r="BF274">
        <v>66</v>
      </c>
      <c r="BG274" s="6">
        <f>BF274/BF321</f>
        <v>0.27272727272727271</v>
      </c>
      <c r="BH274" s="6">
        <f>66/$BH$3</f>
        <v>0.27272727272727271</v>
      </c>
      <c r="BJ274">
        <v>119</v>
      </c>
      <c r="BK274" s="6">
        <f>BJ274/BJ321</f>
        <v>0.29528535980148884</v>
      </c>
      <c r="BL274" s="6">
        <f>119/$BL$3</f>
        <v>0.29528535980148884</v>
      </c>
      <c r="BN274">
        <v>111</v>
      </c>
      <c r="BO274" s="6">
        <f>BN274/BN321</f>
        <v>0.26241134751773049</v>
      </c>
      <c r="BP274" s="6">
        <f>111/$BP$3</f>
        <v>0.26241134751773049</v>
      </c>
      <c r="BR274">
        <v>85</v>
      </c>
      <c r="BS274" s="6">
        <f>BR274/BR321</f>
        <v>0.31021897810218979</v>
      </c>
      <c r="BT274" s="6">
        <f>85/$BT$3</f>
        <v>0.31021897810218979</v>
      </c>
      <c r="BV274">
        <v>83</v>
      </c>
      <c r="BW274" s="6">
        <f>BV274/BV321</f>
        <v>0.27213114754098361</v>
      </c>
      <c r="BX274" s="6">
        <f>83/$BX$3</f>
        <v>0.27213114754098361</v>
      </c>
      <c r="BZ274">
        <v>78</v>
      </c>
      <c r="CA274" s="6">
        <f>BZ274/BZ321</f>
        <v>0.3482142857142857</v>
      </c>
      <c r="CB274" s="9">
        <f>78/$CB$3</f>
        <v>0.3482142857142857</v>
      </c>
      <c r="CD274">
        <v>65</v>
      </c>
      <c r="CE274" s="6">
        <f>CD274/CD321</f>
        <v>0.26970954356846472</v>
      </c>
      <c r="CF274" s="6">
        <f>65/$CF$3</f>
        <v>0.26970954356846472</v>
      </c>
      <c r="CH274">
        <v>89</v>
      </c>
      <c r="CI274" s="6">
        <f>CH274/CH321</f>
        <v>0.26969696969696971</v>
      </c>
      <c r="CJ274" s="6">
        <f>89/$CJ$3</f>
        <v>0.26969696969696971</v>
      </c>
    </row>
    <row r="275" spans="1:88" x14ac:dyDescent="0.35">
      <c r="A275" s="1" t="s">
        <v>587</v>
      </c>
      <c r="B275">
        <v>309</v>
      </c>
      <c r="C275" s="6">
        <f>B275/B321</f>
        <v>0.28090909090909089</v>
      </c>
      <c r="D275" s="6">
        <f>309/$D$3</f>
        <v>0.28090909090909089</v>
      </c>
      <c r="F275">
        <v>267</v>
      </c>
      <c r="G275" s="6">
        <f>F275/F321</f>
        <v>0.29308452250274425</v>
      </c>
      <c r="H275" s="6">
        <f>267/$H$3</f>
        <v>0.29308452250274425</v>
      </c>
      <c r="J275">
        <v>140</v>
      </c>
      <c r="K275" s="6">
        <f>J275/J321</f>
        <v>0.32258064516129031</v>
      </c>
      <c r="L275" s="6">
        <f>140/$L$3</f>
        <v>0.32258064516129031</v>
      </c>
      <c r="N275">
        <v>23</v>
      </c>
      <c r="O275" s="6">
        <f>N275/N321</f>
        <v>0.2839506172839506</v>
      </c>
      <c r="P275" s="6">
        <f>23/$P$3</f>
        <v>0.2839506172839506</v>
      </c>
      <c r="R275">
        <v>160</v>
      </c>
      <c r="S275" s="6">
        <f>R275/R321</f>
        <v>0.2857142857142857</v>
      </c>
      <c r="T275" s="6">
        <f>160/$T$3</f>
        <v>0.2857142857142857</v>
      </c>
      <c r="V275">
        <v>149</v>
      </c>
      <c r="W275" s="6">
        <f>V275/V321</f>
        <v>0.27592592592592591</v>
      </c>
      <c r="X275" s="6">
        <f>149/$X$3</f>
        <v>0.27592592592592591</v>
      </c>
      <c r="Z275">
        <v>32</v>
      </c>
      <c r="AA275" s="6">
        <f>Z275/Z321</f>
        <v>0.2831858407079646</v>
      </c>
      <c r="AB275" s="6">
        <f>32/$AB$3</f>
        <v>0.2831858407079646</v>
      </c>
      <c r="AD275">
        <v>77</v>
      </c>
      <c r="AE275" s="6">
        <f>AD275/AD321</f>
        <v>0.3888888888888889</v>
      </c>
      <c r="AF275" s="9">
        <f>77/$AF$3</f>
        <v>0.3888888888888889</v>
      </c>
      <c r="AG275" s="7"/>
      <c r="AH275">
        <v>83</v>
      </c>
      <c r="AI275" s="6">
        <f>AH275/AH321</f>
        <v>0.33603238866396762</v>
      </c>
      <c r="AJ275" s="9">
        <f>83/$AJ$3</f>
        <v>0.33603238866396762</v>
      </c>
      <c r="AK275" s="7"/>
      <c r="AL275">
        <v>56</v>
      </c>
      <c r="AM275" s="6">
        <f>AL275/AL321</f>
        <v>0.2413793103448276</v>
      </c>
      <c r="AN275" s="6">
        <f>56/$AN$3</f>
        <v>0.2413793103448276</v>
      </c>
      <c r="AP275">
        <v>39</v>
      </c>
      <c r="AQ275" s="6">
        <f>AP275/AP321</f>
        <v>0.20967741935483872</v>
      </c>
      <c r="AR275" s="8">
        <f>39/$AR$3</f>
        <v>0.20967741935483872</v>
      </c>
      <c r="AT275">
        <v>22</v>
      </c>
      <c r="AU275" s="6">
        <f>AT275/AT321</f>
        <v>0.17741935483870969</v>
      </c>
      <c r="AV275" s="8">
        <f>22/$AV$3</f>
        <v>0.17741935483870969</v>
      </c>
      <c r="AX275">
        <v>116</v>
      </c>
      <c r="AY275" s="6">
        <f>AX275/AX321</f>
        <v>0.26976744186046514</v>
      </c>
      <c r="AZ275" s="6">
        <f>116/$AZ$3</f>
        <v>0.26976744186046514</v>
      </c>
      <c r="BB275">
        <v>130</v>
      </c>
      <c r="BC275" s="6">
        <f>BB275/BB321</f>
        <v>0.30373831775700932</v>
      </c>
      <c r="BD275" s="6">
        <f>130/$BD$3</f>
        <v>0.30373831775700932</v>
      </c>
      <c r="BF275">
        <v>63</v>
      </c>
      <c r="BG275" s="6">
        <f>BF275/BF321</f>
        <v>0.26033057851239672</v>
      </c>
      <c r="BH275" s="6">
        <f>63/$BH$3</f>
        <v>0.26033057851239672</v>
      </c>
      <c r="BJ275">
        <v>134</v>
      </c>
      <c r="BK275" s="6">
        <f>BJ275/BJ321</f>
        <v>0.33250620347394538</v>
      </c>
      <c r="BL275" s="9">
        <f>134/$BL$3</f>
        <v>0.33250620347394538</v>
      </c>
      <c r="BM275" s="7" t="s">
        <v>5</v>
      </c>
      <c r="BN275">
        <v>114</v>
      </c>
      <c r="BO275" s="6">
        <f>BN275/BN321</f>
        <v>0.26950354609929078</v>
      </c>
      <c r="BP275" s="6">
        <f>114/$BP$3</f>
        <v>0.26950354609929078</v>
      </c>
      <c r="BR275">
        <v>61</v>
      </c>
      <c r="BS275" s="6">
        <f>BR275/BR321</f>
        <v>0.22262773722627738</v>
      </c>
      <c r="BT275" s="8">
        <f>61/$BT$3</f>
        <v>0.22262773722627738</v>
      </c>
      <c r="BV275">
        <v>85</v>
      </c>
      <c r="BW275" s="6">
        <f>BV275/BV321</f>
        <v>0.27868852459016391</v>
      </c>
      <c r="BX275" s="6">
        <f>85/$BX$3</f>
        <v>0.27868852459016391</v>
      </c>
      <c r="BZ275">
        <v>57</v>
      </c>
      <c r="CA275" s="6">
        <f>BZ275/BZ321</f>
        <v>0.2544642857142857</v>
      </c>
      <c r="CB275" s="6">
        <f>57/$CB$3</f>
        <v>0.2544642857142857</v>
      </c>
      <c r="CD275">
        <v>81</v>
      </c>
      <c r="CE275" s="6">
        <f>CD275/CD321</f>
        <v>0.33609958506224069</v>
      </c>
      <c r="CF275" s="9">
        <f>81/$CF$3</f>
        <v>0.33609958506224069</v>
      </c>
      <c r="CH275">
        <v>86</v>
      </c>
      <c r="CI275" s="6">
        <f>CH275/CH321</f>
        <v>0.26060606060606062</v>
      </c>
      <c r="CJ275" s="6">
        <f>86/$CJ$3</f>
        <v>0.26060606060606062</v>
      </c>
    </row>
    <row r="276" spans="1:88" x14ac:dyDescent="0.35">
      <c r="A276" s="1" t="s">
        <v>588</v>
      </c>
      <c r="B276">
        <v>41</v>
      </c>
      <c r="C276" s="6">
        <f>B276/B321</f>
        <v>3.727272727272727E-2</v>
      </c>
      <c r="D276" s="6">
        <f>41/$D$3</f>
        <v>3.727272727272727E-2</v>
      </c>
      <c r="F276">
        <v>36</v>
      </c>
      <c r="G276" s="6">
        <f>F276/F321</f>
        <v>3.951701427003293E-2</v>
      </c>
      <c r="H276" s="6">
        <f>36/$H$3</f>
        <v>3.951701427003293E-2</v>
      </c>
      <c r="J276">
        <v>13</v>
      </c>
      <c r="K276" s="6">
        <f>J276/J321</f>
        <v>2.9953917050691243E-2</v>
      </c>
      <c r="L276" s="6">
        <f>13/$L$3</f>
        <v>2.9953917050691243E-2</v>
      </c>
      <c r="N276">
        <v>4</v>
      </c>
      <c r="O276" s="6">
        <f>N276/N321</f>
        <v>4.9382716049382713E-2</v>
      </c>
      <c r="P276" s="6">
        <f>4/$P$3</f>
        <v>4.9382716049382713E-2</v>
      </c>
      <c r="R276">
        <v>20</v>
      </c>
      <c r="S276" s="6">
        <f>R276/R321</f>
        <v>3.5714285714285712E-2</v>
      </c>
      <c r="T276" s="6">
        <f>20/$T$3</f>
        <v>3.5714285714285712E-2</v>
      </c>
      <c r="V276">
        <v>21</v>
      </c>
      <c r="W276" s="6">
        <f>V276/V321</f>
        <v>3.888888888888889E-2</v>
      </c>
      <c r="X276" s="6">
        <f>21/$X$3</f>
        <v>3.888888888888889E-2</v>
      </c>
      <c r="Z276">
        <v>9</v>
      </c>
      <c r="AA276" s="6">
        <f>Z276/Z321</f>
        <v>7.9646017699115043E-2</v>
      </c>
      <c r="AB276" s="6">
        <f>9/$AB$3</f>
        <v>7.9646017699115043E-2</v>
      </c>
      <c r="AC276" s="7"/>
      <c r="AD276">
        <v>9</v>
      </c>
      <c r="AE276" s="6">
        <f>AD276/AD321</f>
        <v>4.5454545454545456E-2</v>
      </c>
      <c r="AF276" s="6">
        <f>9/$AF$3</f>
        <v>4.5454545454545456E-2</v>
      </c>
      <c r="AH276">
        <v>5</v>
      </c>
      <c r="AI276" s="6">
        <f>AH276/AH321</f>
        <v>2.0242914979757085E-2</v>
      </c>
      <c r="AJ276" s="6">
        <f>5/$AJ$3</f>
        <v>2.0242914979757085E-2</v>
      </c>
      <c r="AL276">
        <v>11</v>
      </c>
      <c r="AM276" s="6">
        <f>AL276/AL321</f>
        <v>4.7413793103448273E-2</v>
      </c>
      <c r="AN276" s="6">
        <f>11/$AN$3</f>
        <v>4.7413793103448273E-2</v>
      </c>
      <c r="AP276">
        <v>6</v>
      </c>
      <c r="AQ276" s="6">
        <f>AP276/AP321</f>
        <v>3.2258064516129031E-2</v>
      </c>
      <c r="AR276" s="6">
        <f>6/$AR$3</f>
        <v>3.2258064516129031E-2</v>
      </c>
      <c r="AT276">
        <v>1</v>
      </c>
      <c r="AU276" s="6">
        <f>AT276/AT321</f>
        <v>8.0645161290322578E-3</v>
      </c>
      <c r="AV276" s="6">
        <f>1/$AV$3</f>
        <v>8.0645161290322578E-3</v>
      </c>
      <c r="AX276">
        <v>23</v>
      </c>
      <c r="AY276" s="6">
        <f>AX276/AX321</f>
        <v>5.3488372093023255E-2</v>
      </c>
      <c r="AZ276" s="6">
        <f>23/$AZ$3</f>
        <v>5.3488372093023255E-2</v>
      </c>
      <c r="BB276">
        <v>12</v>
      </c>
      <c r="BC276" s="6">
        <f>BB276/BB321</f>
        <v>2.8037383177570093E-2</v>
      </c>
      <c r="BD276" s="6">
        <f>12/$BD$3</f>
        <v>2.8037383177570093E-2</v>
      </c>
      <c r="BF276">
        <v>6</v>
      </c>
      <c r="BG276" s="6">
        <f>BF276/BF321</f>
        <v>2.4793388429752067E-2</v>
      </c>
      <c r="BH276" s="6">
        <f>6/$BH$3</f>
        <v>2.4793388429752067E-2</v>
      </c>
      <c r="BJ276">
        <v>19</v>
      </c>
      <c r="BK276" s="6">
        <f>BJ276/BJ321</f>
        <v>4.7146401985111663E-2</v>
      </c>
      <c r="BL276" s="6">
        <f>19/$BL$3</f>
        <v>4.7146401985111663E-2</v>
      </c>
      <c r="BN276">
        <v>12</v>
      </c>
      <c r="BO276" s="6">
        <f>BN276/BN321</f>
        <v>2.8368794326241134E-2</v>
      </c>
      <c r="BP276" s="6">
        <f>12/$BP$3</f>
        <v>2.8368794326241134E-2</v>
      </c>
      <c r="BR276">
        <v>10</v>
      </c>
      <c r="BS276" s="6">
        <f>BR276/BR321</f>
        <v>3.6496350364963501E-2</v>
      </c>
      <c r="BT276" s="6">
        <f>10/$BT$3</f>
        <v>3.6496350364963501E-2</v>
      </c>
      <c r="BV276">
        <v>12</v>
      </c>
      <c r="BW276" s="6">
        <f>BV276/BV321</f>
        <v>3.9344262295081971E-2</v>
      </c>
      <c r="BX276" s="6">
        <f>12/$BX$3</f>
        <v>3.9344262295081971E-2</v>
      </c>
      <c r="BZ276">
        <v>7</v>
      </c>
      <c r="CA276" s="6">
        <f>BZ276/BZ321</f>
        <v>3.125E-2</v>
      </c>
      <c r="CB276" s="6">
        <f>7/$CB$3</f>
        <v>3.125E-2</v>
      </c>
      <c r="CD276">
        <v>9</v>
      </c>
      <c r="CE276" s="6">
        <f>CD276/CD321</f>
        <v>3.7344398340248962E-2</v>
      </c>
      <c r="CF276" s="6">
        <f>9/$CF$3</f>
        <v>3.7344398340248962E-2</v>
      </c>
      <c r="CH276">
        <v>13</v>
      </c>
      <c r="CI276" s="6">
        <f>CH276/CH321</f>
        <v>3.9393939393939391E-2</v>
      </c>
      <c r="CJ276" s="6">
        <f>13/$CJ$3</f>
        <v>3.9393939393939391E-2</v>
      </c>
    </row>
    <row r="277" spans="1:88" x14ac:dyDescent="0.35">
      <c r="A277" s="1" t="s">
        <v>589</v>
      </c>
      <c r="B277">
        <v>435</v>
      </c>
      <c r="C277" s="6">
        <f>B277/B321</f>
        <v>0.39545454545454545</v>
      </c>
      <c r="D277" s="6">
        <f>435/$D$3</f>
        <v>0.39545454545454545</v>
      </c>
      <c r="F277">
        <v>318</v>
      </c>
      <c r="G277" s="6">
        <f>F277/F321</f>
        <v>0.34906695938529086</v>
      </c>
      <c r="H277" s="6">
        <f>318/$H$3</f>
        <v>0.34906695938529086</v>
      </c>
      <c r="J277">
        <v>124</v>
      </c>
      <c r="K277" s="6">
        <f>J277/J321</f>
        <v>0.2857142857142857</v>
      </c>
      <c r="L277" s="8">
        <f>124/$L$3</f>
        <v>0.2857142857142857</v>
      </c>
      <c r="N277">
        <v>31</v>
      </c>
      <c r="O277" s="6">
        <f>N277/N321</f>
        <v>0.38271604938271603</v>
      </c>
      <c r="P277" s="6">
        <f>31/$P$3</f>
        <v>0.38271604938271603</v>
      </c>
      <c r="R277">
        <v>223</v>
      </c>
      <c r="S277" s="6">
        <f>R277/R321</f>
        <v>0.39821428571428569</v>
      </c>
      <c r="T277" s="6">
        <f>223/$T$3</f>
        <v>0.39821428571428569</v>
      </c>
      <c r="V277">
        <v>212</v>
      </c>
      <c r="W277" s="6">
        <f>V277/V321</f>
        <v>0.3925925925925926</v>
      </c>
      <c r="X277" s="6">
        <f>212/$X$3</f>
        <v>0.3925925925925926</v>
      </c>
      <c r="Z277">
        <v>34</v>
      </c>
      <c r="AA277" s="6">
        <f>Z277/Z321</f>
        <v>0.30088495575221241</v>
      </c>
      <c r="AB277" s="8">
        <f>34/$AB$3</f>
        <v>0.30088495575221241</v>
      </c>
      <c r="AD277">
        <v>56</v>
      </c>
      <c r="AE277" s="6">
        <f>AD277/AD321</f>
        <v>0.28282828282828282</v>
      </c>
      <c r="AF277" s="8">
        <f>56/$AF$3</f>
        <v>0.28282828282828282</v>
      </c>
      <c r="AH277">
        <v>71</v>
      </c>
      <c r="AI277" s="6">
        <f>AH277/AH321</f>
        <v>0.2874493927125506</v>
      </c>
      <c r="AJ277" s="8">
        <f>71/$AJ$3</f>
        <v>0.2874493927125506</v>
      </c>
      <c r="AL277">
        <v>92</v>
      </c>
      <c r="AM277" s="6">
        <f>AL277/AL321</f>
        <v>0.39655172413793105</v>
      </c>
      <c r="AN277" s="6">
        <f>92/$AN$3</f>
        <v>0.39655172413793105</v>
      </c>
      <c r="AP277">
        <v>99</v>
      </c>
      <c r="AQ277" s="6">
        <f>AP277/AP321</f>
        <v>0.532258064516129</v>
      </c>
      <c r="AR277" s="9">
        <f>99/$AR$3</f>
        <v>0.532258064516129</v>
      </c>
      <c r="AS277" s="7"/>
      <c r="AT277">
        <v>83</v>
      </c>
      <c r="AU277" s="6">
        <f>AT277/AT321</f>
        <v>0.66935483870967738</v>
      </c>
      <c r="AV277" s="9">
        <f>83/$AV$3</f>
        <v>0.66935483870967738</v>
      </c>
      <c r="AW277" s="7"/>
      <c r="AX277">
        <v>156</v>
      </c>
      <c r="AY277" s="6">
        <f>AX277/AX321</f>
        <v>0.36279069767441863</v>
      </c>
      <c r="AZ277" s="6">
        <f>156/$AZ$3</f>
        <v>0.36279069767441863</v>
      </c>
      <c r="BB277">
        <v>172</v>
      </c>
      <c r="BC277" s="6">
        <f>BB277/BB321</f>
        <v>0.40186915887850466</v>
      </c>
      <c r="BD277" s="6">
        <f>172/$BD$3</f>
        <v>0.40186915887850466</v>
      </c>
      <c r="BF277">
        <v>107</v>
      </c>
      <c r="BG277" s="6">
        <f>BF277/BF321</f>
        <v>0.44214876033057854</v>
      </c>
      <c r="BH277" s="6">
        <f>107/$BH$3</f>
        <v>0.44214876033057854</v>
      </c>
      <c r="BJ277">
        <v>131</v>
      </c>
      <c r="BK277" s="6">
        <f>BJ277/BJ321</f>
        <v>0.32506203473945411</v>
      </c>
      <c r="BL277" s="8">
        <f>131/$BL$3</f>
        <v>0.32506203473945411</v>
      </c>
      <c r="BN277">
        <v>186</v>
      </c>
      <c r="BO277" s="6">
        <f>BN277/BN321</f>
        <v>0.43971631205673761</v>
      </c>
      <c r="BP277" s="6">
        <f>186/$BP$3</f>
        <v>0.43971631205673761</v>
      </c>
      <c r="BQ277" s="7"/>
      <c r="BR277">
        <v>118</v>
      </c>
      <c r="BS277" s="6">
        <f>BR277/BR321</f>
        <v>0.43065693430656932</v>
      </c>
      <c r="BT277" s="6">
        <f>118/$BT$3</f>
        <v>0.43065693430656932</v>
      </c>
      <c r="BU277" s="7"/>
      <c r="BV277">
        <v>125</v>
      </c>
      <c r="BW277" s="6">
        <f>BV277/BV321</f>
        <v>0.4098360655737705</v>
      </c>
      <c r="BX277" s="6">
        <f>125/$BX$3</f>
        <v>0.4098360655737705</v>
      </c>
      <c r="BZ277">
        <v>82</v>
      </c>
      <c r="CA277" s="6">
        <f>BZ277/BZ321</f>
        <v>0.36607142857142855</v>
      </c>
      <c r="CB277" s="6">
        <f>82/$CB$3</f>
        <v>0.36607142857142855</v>
      </c>
      <c r="CD277">
        <v>86</v>
      </c>
      <c r="CE277" s="6">
        <f>CD277/CD321</f>
        <v>0.35684647302904565</v>
      </c>
      <c r="CF277" s="6">
        <f>86/$CF$3</f>
        <v>0.35684647302904565</v>
      </c>
      <c r="CH277">
        <v>142</v>
      </c>
      <c r="CI277" s="6">
        <f>CH277/CH321</f>
        <v>0.4303030303030303</v>
      </c>
      <c r="CJ277" s="6">
        <f>142/$CJ$3</f>
        <v>0.4303030303030303</v>
      </c>
    </row>
    <row r="279" spans="1:88" x14ac:dyDescent="0.35">
      <c r="A279" s="1" t="s">
        <v>590</v>
      </c>
      <c r="B279">
        <v>232</v>
      </c>
      <c r="C279" s="6">
        <f>B279/B321</f>
        <v>0.21090909090909091</v>
      </c>
      <c r="D279" s="6">
        <f>232/$D$3</f>
        <v>0.21090909090909091</v>
      </c>
      <c r="F279">
        <v>211</v>
      </c>
      <c r="G279" s="6">
        <f>F279/F321</f>
        <v>0.23161361141602635</v>
      </c>
      <c r="H279" s="6">
        <f>211/$H$3</f>
        <v>0.23161361141602635</v>
      </c>
      <c r="J279">
        <v>123</v>
      </c>
      <c r="K279" s="6">
        <f>J279/J321</f>
        <v>0.28341013824884792</v>
      </c>
      <c r="L279" s="9">
        <f>123/$L$3</f>
        <v>0.28341013824884792</v>
      </c>
      <c r="N279">
        <v>18</v>
      </c>
      <c r="O279" s="6">
        <f>N279/N321</f>
        <v>0.22222222222222221</v>
      </c>
      <c r="P279" s="6">
        <f>18/$P$3</f>
        <v>0.22222222222222221</v>
      </c>
      <c r="R279">
        <v>144</v>
      </c>
      <c r="S279" s="6">
        <f>R279/R321</f>
        <v>0.25714285714285712</v>
      </c>
      <c r="T279" s="6">
        <f>144/$T$3</f>
        <v>0.25714285714285712</v>
      </c>
      <c r="V279">
        <v>88</v>
      </c>
      <c r="W279" s="6">
        <f>V279/V321</f>
        <v>0.16296296296296298</v>
      </c>
      <c r="X279" s="6">
        <f>88/$X$3</f>
        <v>0.16296296296296298</v>
      </c>
      <c r="Z279">
        <v>35</v>
      </c>
      <c r="AA279" s="6">
        <f>Z279/Z321</f>
        <v>0.30973451327433627</v>
      </c>
      <c r="AB279" s="9">
        <f>35/$AB$3</f>
        <v>0.30973451327433627</v>
      </c>
      <c r="AC279" s="7"/>
      <c r="AD279">
        <v>40</v>
      </c>
      <c r="AE279" s="6">
        <f>AD279/AD321</f>
        <v>0.20202020202020202</v>
      </c>
      <c r="AF279" s="6">
        <f>40/$AF$3</f>
        <v>0.20202020202020202</v>
      </c>
      <c r="AH279">
        <v>61</v>
      </c>
      <c r="AI279" s="6">
        <f>AH279/AH321</f>
        <v>0.24696356275303644</v>
      </c>
      <c r="AJ279" s="6">
        <f>61/$AJ$3</f>
        <v>0.24696356275303644</v>
      </c>
      <c r="AK279" s="7"/>
      <c r="AL279">
        <v>54</v>
      </c>
      <c r="AM279" s="6">
        <f>AL279/AL321</f>
        <v>0.23275862068965517</v>
      </c>
      <c r="AN279" s="6">
        <f>54/$AN$3</f>
        <v>0.23275862068965517</v>
      </c>
      <c r="AO279" s="7"/>
      <c r="AP279">
        <v>30</v>
      </c>
      <c r="AQ279" s="6">
        <f>AP279/AP321</f>
        <v>0.16129032258064516</v>
      </c>
      <c r="AR279" s="6">
        <f>30/$AR$3</f>
        <v>0.16129032258064516</v>
      </c>
      <c r="AT279">
        <v>12</v>
      </c>
      <c r="AU279" s="6">
        <f>AT279/AT321</f>
        <v>9.6774193548387094E-2</v>
      </c>
      <c r="AV279" s="8">
        <f>12/$AV$3</f>
        <v>9.6774193548387094E-2</v>
      </c>
      <c r="AX279">
        <v>97</v>
      </c>
      <c r="AY279" s="6">
        <f>AX279/AX321</f>
        <v>0.2255813953488372</v>
      </c>
      <c r="AZ279" s="6">
        <f>97/$AZ$3</f>
        <v>0.2255813953488372</v>
      </c>
      <c r="BB279">
        <v>94</v>
      </c>
      <c r="BC279" s="6">
        <f>BB279/BB321</f>
        <v>0.21962616822429906</v>
      </c>
      <c r="BD279" s="6">
        <f>94/$BD$3</f>
        <v>0.21962616822429906</v>
      </c>
      <c r="BF279">
        <v>41</v>
      </c>
      <c r="BG279" s="6">
        <f>BF279/BF321</f>
        <v>0.16942148760330578</v>
      </c>
      <c r="BH279" s="6">
        <f>41/$BH$3</f>
        <v>0.16942148760330578</v>
      </c>
      <c r="BJ279">
        <v>79</v>
      </c>
      <c r="BK279" s="6">
        <f>BJ279/BJ321</f>
        <v>0.19602977667493796</v>
      </c>
      <c r="BL279" s="6">
        <f>79/$BL$3</f>
        <v>0.19602977667493796</v>
      </c>
      <c r="BN279">
        <v>91</v>
      </c>
      <c r="BO279" s="6">
        <f>BN279/BN321</f>
        <v>0.21513002364066194</v>
      </c>
      <c r="BP279" s="6">
        <f>91/$BP$3</f>
        <v>0.21513002364066194</v>
      </c>
      <c r="BR279">
        <v>62</v>
      </c>
      <c r="BS279" s="6">
        <f>BR279/BR321</f>
        <v>0.22627737226277372</v>
      </c>
      <c r="BT279" s="6">
        <f>62/$BT$3</f>
        <v>0.22627737226277372</v>
      </c>
      <c r="BV279">
        <v>58</v>
      </c>
      <c r="BW279" s="6">
        <f>BV279/BV321</f>
        <v>0.1901639344262295</v>
      </c>
      <c r="BX279" s="6">
        <f>58/$BX$3</f>
        <v>0.1901639344262295</v>
      </c>
      <c r="BZ279">
        <v>49</v>
      </c>
      <c r="CA279" s="6">
        <f>BZ279/BZ321</f>
        <v>0.21875</v>
      </c>
      <c r="CB279" s="6">
        <f>49/$CB$3</f>
        <v>0.21875</v>
      </c>
      <c r="CD279">
        <v>58</v>
      </c>
      <c r="CE279" s="6">
        <f>CD279/CD321</f>
        <v>0.24066390041493776</v>
      </c>
      <c r="CF279" s="6">
        <f>58/$CF$3</f>
        <v>0.24066390041493776</v>
      </c>
      <c r="CH279">
        <v>67</v>
      </c>
      <c r="CI279" s="6">
        <f>CH279/CH321</f>
        <v>0.20303030303030303</v>
      </c>
      <c r="CJ279" s="6">
        <f>67/$CJ$3</f>
        <v>0.20303030303030303</v>
      </c>
    </row>
    <row r="280" spans="1:88" x14ac:dyDescent="0.35">
      <c r="A280" s="1" t="s">
        <v>591</v>
      </c>
      <c r="B280">
        <v>322</v>
      </c>
      <c r="C280" s="6">
        <f>B280/B321</f>
        <v>0.29272727272727272</v>
      </c>
      <c r="D280" s="6">
        <f>322/$D$3</f>
        <v>0.29272727272727272</v>
      </c>
      <c r="F280">
        <v>286</v>
      </c>
      <c r="G280" s="6">
        <f>F280/F321</f>
        <v>0.31394072447859495</v>
      </c>
      <c r="H280" s="6">
        <f>286/$H$3</f>
        <v>0.31394072447859495</v>
      </c>
      <c r="J280">
        <v>136</v>
      </c>
      <c r="K280" s="6">
        <f>J280/J321</f>
        <v>0.31336405529953915</v>
      </c>
      <c r="L280" s="6">
        <f>136/$L$3</f>
        <v>0.31336405529953915</v>
      </c>
      <c r="N280">
        <v>27</v>
      </c>
      <c r="O280" s="6">
        <f>N280/N321</f>
        <v>0.33333333333333331</v>
      </c>
      <c r="P280" s="6">
        <f>27/$P$3</f>
        <v>0.33333333333333331</v>
      </c>
      <c r="R280">
        <v>176</v>
      </c>
      <c r="S280" s="6">
        <f>R280/R321</f>
        <v>0.31428571428571428</v>
      </c>
      <c r="T280" s="6">
        <f>176/$T$3</f>
        <v>0.31428571428571428</v>
      </c>
      <c r="V280">
        <v>146</v>
      </c>
      <c r="W280" s="6">
        <f>V280/V321</f>
        <v>0.27037037037037037</v>
      </c>
      <c r="X280" s="6">
        <f>146/$X$3</f>
        <v>0.27037037037037037</v>
      </c>
      <c r="Z280">
        <v>37</v>
      </c>
      <c r="AA280" s="6">
        <f>Z280/Z321</f>
        <v>0.32743362831858408</v>
      </c>
      <c r="AB280" s="6">
        <f>37/$AB$3</f>
        <v>0.32743362831858408</v>
      </c>
      <c r="AD280">
        <v>57</v>
      </c>
      <c r="AE280" s="6">
        <f>AD280/AD321</f>
        <v>0.2878787878787879</v>
      </c>
      <c r="AF280" s="6">
        <f>57/$AF$3</f>
        <v>0.2878787878787879</v>
      </c>
      <c r="AH280">
        <v>76</v>
      </c>
      <c r="AI280" s="6">
        <f>AH280/AH321</f>
        <v>0.30769230769230771</v>
      </c>
      <c r="AJ280" s="6">
        <f>76/$AJ$3</f>
        <v>0.30769230769230771</v>
      </c>
      <c r="AL280">
        <v>69</v>
      </c>
      <c r="AM280" s="6">
        <f>AL280/AL321</f>
        <v>0.29741379310344829</v>
      </c>
      <c r="AN280" s="6">
        <f>69/$AN$3</f>
        <v>0.29741379310344829</v>
      </c>
      <c r="AP280">
        <v>47</v>
      </c>
      <c r="AQ280" s="6">
        <f>AP280/AP321</f>
        <v>0.25268817204301075</v>
      </c>
      <c r="AR280" s="6">
        <f>47/$AR$3</f>
        <v>0.25268817204301075</v>
      </c>
      <c r="AT280">
        <v>36</v>
      </c>
      <c r="AU280" s="6">
        <f>AT280/AT321</f>
        <v>0.29032258064516131</v>
      </c>
      <c r="AV280" s="6">
        <f>36/$AV$3</f>
        <v>0.29032258064516131</v>
      </c>
      <c r="AX280">
        <v>120</v>
      </c>
      <c r="AY280" s="6">
        <f>AX280/AX321</f>
        <v>0.27906976744186046</v>
      </c>
      <c r="AZ280" s="6">
        <f>120/$AZ$3</f>
        <v>0.27906976744186046</v>
      </c>
      <c r="BB280">
        <v>130</v>
      </c>
      <c r="BC280" s="6">
        <f>BB280/BB321</f>
        <v>0.30373831775700932</v>
      </c>
      <c r="BD280" s="6">
        <f>130/$BD$3</f>
        <v>0.30373831775700932</v>
      </c>
      <c r="BF280">
        <v>72</v>
      </c>
      <c r="BG280" s="6">
        <f>BF280/BF321</f>
        <v>0.2975206611570248</v>
      </c>
      <c r="BH280" s="6">
        <f>72/$BH$3</f>
        <v>0.2975206611570248</v>
      </c>
      <c r="BJ280">
        <v>119</v>
      </c>
      <c r="BK280" s="6">
        <f>BJ280/BJ321</f>
        <v>0.29528535980148884</v>
      </c>
      <c r="BL280" s="6">
        <f>119/$BL$3</f>
        <v>0.29528535980148884</v>
      </c>
      <c r="BN280">
        <v>123</v>
      </c>
      <c r="BO280" s="6">
        <f>BN280/BN321</f>
        <v>0.29078014184397161</v>
      </c>
      <c r="BP280" s="6">
        <f>123/$BP$3</f>
        <v>0.29078014184397161</v>
      </c>
      <c r="BR280">
        <v>80</v>
      </c>
      <c r="BS280" s="6">
        <f>BR280/BR321</f>
        <v>0.29197080291970801</v>
      </c>
      <c r="BT280" s="6">
        <f>80/$BT$3</f>
        <v>0.29197080291970801</v>
      </c>
      <c r="BV280">
        <v>91</v>
      </c>
      <c r="BW280" s="6">
        <f>BV280/BV321</f>
        <v>0.29836065573770493</v>
      </c>
      <c r="BX280" s="6">
        <f>91/$BX$3</f>
        <v>0.29836065573770493</v>
      </c>
      <c r="BZ280">
        <v>67</v>
      </c>
      <c r="CA280" s="6">
        <f>BZ280/BZ321</f>
        <v>0.29910714285714285</v>
      </c>
      <c r="CB280" s="6">
        <f>67/$CB$3</f>
        <v>0.29910714285714285</v>
      </c>
      <c r="CD280">
        <v>69</v>
      </c>
      <c r="CE280" s="6">
        <f>CD280/CD321</f>
        <v>0.2863070539419087</v>
      </c>
      <c r="CF280" s="6">
        <f>69/$CF$3</f>
        <v>0.2863070539419087</v>
      </c>
      <c r="CH280">
        <v>95</v>
      </c>
      <c r="CI280" s="6">
        <f>CH280/CH321</f>
        <v>0.2878787878787879</v>
      </c>
      <c r="CJ280" s="6">
        <f>95/$CJ$3</f>
        <v>0.2878787878787879</v>
      </c>
    </row>
    <row r="281" spans="1:88" x14ac:dyDescent="0.35">
      <c r="A281" s="1" t="s">
        <v>592</v>
      </c>
      <c r="B281">
        <v>54</v>
      </c>
      <c r="C281" s="6">
        <f>B281/B321</f>
        <v>4.9090909090909088E-2</v>
      </c>
      <c r="D281" s="6">
        <f>54/$D$3</f>
        <v>4.9090909090909088E-2</v>
      </c>
      <c r="F281">
        <v>49</v>
      </c>
      <c r="G281" s="6">
        <f>F281/F321</f>
        <v>5.3787047200878159E-2</v>
      </c>
      <c r="H281" s="6">
        <f>49/$H$3</f>
        <v>5.3787047200878159E-2</v>
      </c>
      <c r="J281">
        <v>23</v>
      </c>
      <c r="K281" s="6">
        <f>J281/J321</f>
        <v>5.2995391705069124E-2</v>
      </c>
      <c r="L281" s="6">
        <f>23/$L$3</f>
        <v>5.2995391705069124E-2</v>
      </c>
      <c r="N281">
        <v>6</v>
      </c>
      <c r="O281" s="6">
        <f>N281/N321</f>
        <v>7.407407407407407E-2</v>
      </c>
      <c r="P281" s="6">
        <f>6/$P$3</f>
        <v>7.407407407407407E-2</v>
      </c>
      <c r="R281">
        <v>33</v>
      </c>
      <c r="S281" s="6">
        <f>R281/R321</f>
        <v>5.8928571428571427E-2</v>
      </c>
      <c r="T281" s="6">
        <f>33/$T$3</f>
        <v>5.8928571428571427E-2</v>
      </c>
      <c r="V281">
        <v>21</v>
      </c>
      <c r="W281" s="6">
        <f>V281/V321</f>
        <v>3.888888888888889E-2</v>
      </c>
      <c r="X281" s="6">
        <f>21/$X$3</f>
        <v>3.888888888888889E-2</v>
      </c>
      <c r="Z281">
        <v>8</v>
      </c>
      <c r="AA281" s="6">
        <f>Z281/Z321</f>
        <v>7.0796460176991149E-2</v>
      </c>
      <c r="AB281" s="6">
        <f>8/$AB$3</f>
        <v>7.0796460176991149E-2</v>
      </c>
      <c r="AD281">
        <v>10</v>
      </c>
      <c r="AE281" s="6">
        <f>AD281/AD321</f>
        <v>5.0505050505050504E-2</v>
      </c>
      <c r="AF281" s="6">
        <f>10/$AF$3</f>
        <v>5.0505050505050504E-2</v>
      </c>
      <c r="AH281">
        <v>11</v>
      </c>
      <c r="AI281" s="6">
        <f>AH281/AH321</f>
        <v>4.4534412955465584E-2</v>
      </c>
      <c r="AJ281" s="6">
        <f>11/$AJ$3</f>
        <v>4.4534412955465584E-2</v>
      </c>
      <c r="AL281">
        <v>5</v>
      </c>
      <c r="AM281" s="6">
        <f>AL281/AL321</f>
        <v>2.1551724137931036E-2</v>
      </c>
      <c r="AN281" s="6">
        <f>5/$AN$3</f>
        <v>2.1551724137931036E-2</v>
      </c>
      <c r="AP281">
        <v>16</v>
      </c>
      <c r="AQ281" s="6">
        <f>AP281/AP321</f>
        <v>8.6021505376344093E-2</v>
      </c>
      <c r="AR281" s="6">
        <f>16/$AR$3</f>
        <v>8.6021505376344093E-2</v>
      </c>
      <c r="AS281" s="7"/>
      <c r="AT281">
        <v>4</v>
      </c>
      <c r="AU281" s="6">
        <f>AT281/AT321</f>
        <v>3.2258064516129031E-2</v>
      </c>
      <c r="AV281" s="6">
        <f>4/$AV$3</f>
        <v>3.2258064516129031E-2</v>
      </c>
      <c r="AX281">
        <v>26</v>
      </c>
      <c r="AY281" s="6">
        <f>AX281/AX321</f>
        <v>6.0465116279069767E-2</v>
      </c>
      <c r="AZ281" s="6">
        <f>26/$AZ$3</f>
        <v>6.0465116279069767E-2</v>
      </c>
      <c r="BB281">
        <v>16</v>
      </c>
      <c r="BC281" s="6">
        <f>BB281/BB321</f>
        <v>3.7383177570093455E-2</v>
      </c>
      <c r="BD281" s="6">
        <f>16/$BD$3</f>
        <v>3.7383177570093455E-2</v>
      </c>
      <c r="BF281">
        <v>12</v>
      </c>
      <c r="BG281" s="6">
        <f>BF281/BF321</f>
        <v>4.9586776859504134E-2</v>
      </c>
      <c r="BH281" s="6">
        <f>12/$BH$3</f>
        <v>4.9586776859504134E-2</v>
      </c>
      <c r="BJ281">
        <v>19</v>
      </c>
      <c r="BK281" s="6">
        <f>BJ281/BJ321</f>
        <v>4.7146401985111663E-2</v>
      </c>
      <c r="BL281" s="6">
        <f>19/$BL$3</f>
        <v>4.7146401985111663E-2</v>
      </c>
      <c r="BN281">
        <v>18</v>
      </c>
      <c r="BO281" s="6">
        <f>BN281/BN321</f>
        <v>4.2553191489361701E-2</v>
      </c>
      <c r="BP281" s="6">
        <f>18/$BP$3</f>
        <v>4.2553191489361701E-2</v>
      </c>
      <c r="BR281">
        <v>17</v>
      </c>
      <c r="BS281" s="6">
        <f>BR281/BR321</f>
        <v>6.2043795620437957E-2</v>
      </c>
      <c r="BT281" s="6">
        <f>17/$BT$3</f>
        <v>6.2043795620437957E-2</v>
      </c>
      <c r="BV281">
        <v>13</v>
      </c>
      <c r="BW281" s="6">
        <f>BV281/BV321</f>
        <v>4.2622950819672129E-2</v>
      </c>
      <c r="BX281" s="6">
        <f>13/$BX$3</f>
        <v>4.2622950819672129E-2</v>
      </c>
      <c r="BZ281">
        <v>11</v>
      </c>
      <c r="CA281" s="6">
        <f>BZ281/BZ321</f>
        <v>4.9107142857142856E-2</v>
      </c>
      <c r="CB281" s="6">
        <f>11/$CB$3</f>
        <v>4.9107142857142856E-2</v>
      </c>
      <c r="CD281">
        <v>10</v>
      </c>
      <c r="CE281" s="6">
        <f>CD281/CD321</f>
        <v>4.1493775933609957E-2</v>
      </c>
      <c r="CF281" s="6">
        <f>10/$CF$3</f>
        <v>4.1493775933609957E-2</v>
      </c>
      <c r="CH281">
        <v>20</v>
      </c>
      <c r="CI281" s="6">
        <f>CH281/CH321</f>
        <v>6.0606060606060608E-2</v>
      </c>
      <c r="CJ281" s="6">
        <f>20/$CJ$3</f>
        <v>6.0606060606060608E-2</v>
      </c>
    </row>
    <row r="282" spans="1:88" x14ac:dyDescent="0.35">
      <c r="A282" s="1" t="s">
        <v>593</v>
      </c>
      <c r="B282">
        <v>492</v>
      </c>
      <c r="C282" s="6">
        <f>B282/B321</f>
        <v>0.44727272727272727</v>
      </c>
      <c r="D282" s="6">
        <f>492/$D$3</f>
        <v>0.44727272727272727</v>
      </c>
      <c r="F282">
        <v>365</v>
      </c>
      <c r="G282" s="6">
        <f>F282/F321</f>
        <v>0.40065861690450055</v>
      </c>
      <c r="H282" s="6">
        <f>365/$H$3</f>
        <v>0.40065861690450055</v>
      </c>
      <c r="J282">
        <v>152</v>
      </c>
      <c r="K282" s="6">
        <f>J282/J321</f>
        <v>0.35023041474654376</v>
      </c>
      <c r="L282" s="8">
        <f>152/$L$3</f>
        <v>0.35023041474654376</v>
      </c>
      <c r="N282">
        <v>30</v>
      </c>
      <c r="O282" s="6">
        <f>N282/N321</f>
        <v>0.37037037037037035</v>
      </c>
      <c r="P282" s="6">
        <f>30/$P$3</f>
        <v>0.37037037037037035</v>
      </c>
      <c r="R282">
        <v>207</v>
      </c>
      <c r="S282" s="6">
        <f>R282/R321</f>
        <v>0.36964285714285716</v>
      </c>
      <c r="T282" s="8">
        <f>207/$T$3</f>
        <v>0.36964285714285716</v>
      </c>
      <c r="V282">
        <v>285</v>
      </c>
      <c r="W282" s="6">
        <f>V282/V321</f>
        <v>0.52777777777777779</v>
      </c>
      <c r="X282" s="9">
        <f>285/$X$3</f>
        <v>0.52777777777777779</v>
      </c>
      <c r="Z282">
        <v>33</v>
      </c>
      <c r="AA282" s="6">
        <f>Z282/Z321</f>
        <v>0.29203539823008851</v>
      </c>
      <c r="AB282" s="8">
        <f>33/$AB$3</f>
        <v>0.29203539823008851</v>
      </c>
      <c r="AD282">
        <v>91</v>
      </c>
      <c r="AE282" s="6">
        <f>AD282/AD321</f>
        <v>0.45959595959595961</v>
      </c>
      <c r="AF282" s="6">
        <f>91/$AF$3</f>
        <v>0.45959595959595961</v>
      </c>
      <c r="AG282" s="7"/>
      <c r="AH282">
        <v>99</v>
      </c>
      <c r="AI282" s="6">
        <f>AH282/AH321</f>
        <v>0.40080971659919029</v>
      </c>
      <c r="AJ282" s="6">
        <f>99/$AJ$3</f>
        <v>0.40080971659919029</v>
      </c>
      <c r="AL282">
        <v>104</v>
      </c>
      <c r="AM282" s="6">
        <f>AL282/AL321</f>
        <v>0.44827586206896552</v>
      </c>
      <c r="AN282" s="6">
        <f>104/$AN$3</f>
        <v>0.44827586206896552</v>
      </c>
      <c r="AO282" s="7"/>
      <c r="AP282">
        <v>93</v>
      </c>
      <c r="AQ282" s="6">
        <f>AP282/AP321</f>
        <v>0.5</v>
      </c>
      <c r="AR282" s="6">
        <f>93/$AR$3</f>
        <v>0.5</v>
      </c>
      <c r="AS282" s="7"/>
      <c r="AT282">
        <v>72</v>
      </c>
      <c r="AU282" s="6">
        <f>AT282/AT321</f>
        <v>0.58064516129032262</v>
      </c>
      <c r="AV282" s="9">
        <f>72/$AV$3</f>
        <v>0.58064516129032262</v>
      </c>
      <c r="AW282" s="7"/>
      <c r="AX282">
        <v>187</v>
      </c>
      <c r="AY282" s="6">
        <f>AX282/AX321</f>
        <v>0.43488372093023253</v>
      </c>
      <c r="AZ282" s="6">
        <f>187/$AZ$3</f>
        <v>0.43488372093023253</v>
      </c>
      <c r="BB282">
        <v>188</v>
      </c>
      <c r="BC282" s="6">
        <f>BB282/BB321</f>
        <v>0.43925233644859812</v>
      </c>
      <c r="BD282" s="6">
        <f>188/$BD$3</f>
        <v>0.43925233644859812</v>
      </c>
      <c r="BF282">
        <v>117</v>
      </c>
      <c r="BG282" s="6">
        <f>BF282/BF321</f>
        <v>0.48347107438016529</v>
      </c>
      <c r="BH282" s="6">
        <f>117/$BH$3</f>
        <v>0.48347107438016529</v>
      </c>
      <c r="BJ282">
        <v>186</v>
      </c>
      <c r="BK282" s="6">
        <f>BJ282/BJ321</f>
        <v>0.46153846153846156</v>
      </c>
      <c r="BL282" s="6">
        <f>186/$BL$3</f>
        <v>0.46153846153846156</v>
      </c>
      <c r="BN282">
        <v>191</v>
      </c>
      <c r="BO282" s="6">
        <f>BN282/BN321</f>
        <v>0.45153664302600471</v>
      </c>
      <c r="BP282" s="6">
        <f>191/$BP$3</f>
        <v>0.45153664302600471</v>
      </c>
      <c r="BR282">
        <v>115</v>
      </c>
      <c r="BS282" s="6">
        <f>BR282/BR321</f>
        <v>0.41970802919708028</v>
      </c>
      <c r="BT282" s="6">
        <f>115/$BT$3</f>
        <v>0.41970802919708028</v>
      </c>
      <c r="BV282">
        <v>143</v>
      </c>
      <c r="BW282" s="6">
        <f>BV282/BV321</f>
        <v>0.46885245901639344</v>
      </c>
      <c r="BX282" s="6">
        <f>143/$BX$3</f>
        <v>0.46885245901639344</v>
      </c>
      <c r="BZ282">
        <v>97</v>
      </c>
      <c r="CA282" s="6">
        <f>BZ282/BZ321</f>
        <v>0.4330357142857143</v>
      </c>
      <c r="CB282" s="6">
        <f>97/$CB$3</f>
        <v>0.4330357142857143</v>
      </c>
      <c r="CD282">
        <v>104</v>
      </c>
      <c r="CE282" s="6">
        <f>CD282/CD321</f>
        <v>0.43153526970954359</v>
      </c>
      <c r="CF282" s="6">
        <f>104/$CF$3</f>
        <v>0.43153526970954359</v>
      </c>
      <c r="CH282">
        <v>148</v>
      </c>
      <c r="CI282" s="6">
        <f>CH282/CH321</f>
        <v>0.44848484848484849</v>
      </c>
      <c r="CJ282" s="6">
        <f>148/$CJ$3</f>
        <v>0.44848484848484849</v>
      </c>
    </row>
    <row r="284" spans="1:88" x14ac:dyDescent="0.35">
      <c r="A284" s="1" t="s">
        <v>594</v>
      </c>
      <c r="B284">
        <v>162</v>
      </c>
      <c r="C284" s="6">
        <f>B284/B321</f>
        <v>0.14727272727272728</v>
      </c>
      <c r="D284" s="6">
        <f>162/$D$3</f>
        <v>0.14727272727272728</v>
      </c>
      <c r="F284">
        <v>147</v>
      </c>
      <c r="G284" s="6">
        <f>F284/F321</f>
        <v>0.16136114160263446</v>
      </c>
      <c r="H284" s="6">
        <f>147/$H$3</f>
        <v>0.16136114160263446</v>
      </c>
      <c r="J284">
        <v>92</v>
      </c>
      <c r="K284" s="6">
        <f>J284/J321</f>
        <v>0.2119815668202765</v>
      </c>
      <c r="L284" s="9">
        <f>92/$L$3</f>
        <v>0.2119815668202765</v>
      </c>
      <c r="N284">
        <v>12</v>
      </c>
      <c r="O284" s="6">
        <f>N284/N321</f>
        <v>0.14814814814814814</v>
      </c>
      <c r="P284" s="6">
        <f>12/$P$3</f>
        <v>0.14814814814814814</v>
      </c>
      <c r="R284">
        <v>77</v>
      </c>
      <c r="S284" s="6">
        <f>R284/R321</f>
        <v>0.13750000000000001</v>
      </c>
      <c r="T284" s="6">
        <f>77/$T$3</f>
        <v>0.13750000000000001</v>
      </c>
      <c r="V284">
        <v>85</v>
      </c>
      <c r="W284" s="6">
        <f>V284/V321</f>
        <v>0.15740740740740741</v>
      </c>
      <c r="X284" s="6">
        <f>85/$X$3</f>
        <v>0.15740740740740741</v>
      </c>
      <c r="Z284">
        <v>25</v>
      </c>
      <c r="AA284" s="6">
        <f>Z284/Z321</f>
        <v>0.22123893805309736</v>
      </c>
      <c r="AB284" s="9">
        <f>25/$AB$3</f>
        <v>0.22123893805309736</v>
      </c>
      <c r="AC284" s="7"/>
      <c r="AD284">
        <v>26</v>
      </c>
      <c r="AE284" s="6">
        <f>AD284/AD321</f>
        <v>0.13131313131313133</v>
      </c>
      <c r="AF284" s="6">
        <f>26/$AF$3</f>
        <v>0.13131313131313133</v>
      </c>
      <c r="AH284">
        <v>35</v>
      </c>
      <c r="AI284" s="6">
        <f>AH284/AH321</f>
        <v>0.1417004048582996</v>
      </c>
      <c r="AJ284" s="6">
        <f>35/$AJ$3</f>
        <v>0.1417004048582996</v>
      </c>
      <c r="AL284">
        <v>39</v>
      </c>
      <c r="AM284" s="6">
        <f>AL284/AL321</f>
        <v>0.16810344827586207</v>
      </c>
      <c r="AN284" s="6">
        <f>39/$AN$3</f>
        <v>0.16810344827586207</v>
      </c>
      <c r="AP284">
        <v>26</v>
      </c>
      <c r="AQ284" s="6">
        <f>AP284/AP321</f>
        <v>0.13978494623655913</v>
      </c>
      <c r="AR284" s="6">
        <f>26/$AR$3</f>
        <v>0.13978494623655913</v>
      </c>
      <c r="AT284">
        <v>11</v>
      </c>
      <c r="AU284" s="6">
        <f>AT284/AT321</f>
        <v>8.8709677419354843E-2</v>
      </c>
      <c r="AV284" s="6">
        <f>11/$AV$3</f>
        <v>8.8709677419354843E-2</v>
      </c>
      <c r="AX284">
        <v>88</v>
      </c>
      <c r="AY284" s="6">
        <f>AX284/AX321</f>
        <v>0.20465116279069767</v>
      </c>
      <c r="AZ284" s="9">
        <f>88/$AZ$3</f>
        <v>0.20465116279069767</v>
      </c>
      <c r="BA284" s="7" t="s">
        <v>410</v>
      </c>
      <c r="BB284">
        <v>51</v>
      </c>
      <c r="BC284" s="6">
        <f>BB284/BB321</f>
        <v>0.1191588785046729</v>
      </c>
      <c r="BD284" s="6">
        <f>51/$BD$3</f>
        <v>0.1191588785046729</v>
      </c>
      <c r="BF284">
        <v>23</v>
      </c>
      <c r="BG284" s="6">
        <f>BF284/BF321</f>
        <v>9.5041322314049589E-2</v>
      </c>
      <c r="BH284" s="8">
        <f>23/$BH$3</f>
        <v>9.5041322314049589E-2</v>
      </c>
      <c r="BJ284">
        <v>58</v>
      </c>
      <c r="BK284" s="6">
        <f>BJ284/BJ321</f>
        <v>0.14392059553349876</v>
      </c>
      <c r="BL284" s="6">
        <f>58/$BL$3</f>
        <v>0.14392059553349876</v>
      </c>
      <c r="BN284">
        <v>63</v>
      </c>
      <c r="BO284" s="6">
        <f>BN284/BN321</f>
        <v>0.14893617021276595</v>
      </c>
      <c r="BP284" s="6">
        <f>63/$BP$3</f>
        <v>0.14893617021276595</v>
      </c>
      <c r="BR284">
        <v>41</v>
      </c>
      <c r="BS284" s="6">
        <f>BR284/BR321</f>
        <v>0.14963503649635038</v>
      </c>
      <c r="BT284" s="6">
        <f>41/$BT$3</f>
        <v>0.14963503649635038</v>
      </c>
      <c r="BV284">
        <v>41</v>
      </c>
      <c r="BW284" s="6">
        <f>BV284/BV321</f>
        <v>0.13442622950819672</v>
      </c>
      <c r="BX284" s="6">
        <f>41/$BX$3</f>
        <v>0.13442622950819672</v>
      </c>
      <c r="BZ284">
        <v>36</v>
      </c>
      <c r="CA284" s="6">
        <f>BZ284/BZ321</f>
        <v>0.16071428571428573</v>
      </c>
      <c r="CB284" s="6">
        <f>36/$CB$3</f>
        <v>0.16071428571428573</v>
      </c>
      <c r="CD284">
        <v>44</v>
      </c>
      <c r="CE284" s="6">
        <f>CD284/CD321</f>
        <v>0.18257261410788381</v>
      </c>
      <c r="CF284" s="6">
        <f>44/$CF$3</f>
        <v>0.18257261410788381</v>
      </c>
      <c r="CH284">
        <v>41</v>
      </c>
      <c r="CI284" s="6">
        <f>CH284/CH321</f>
        <v>0.12424242424242424</v>
      </c>
      <c r="CJ284" s="6">
        <f>41/$CJ$3</f>
        <v>0.12424242424242424</v>
      </c>
    </row>
    <row r="285" spans="1:88" x14ac:dyDescent="0.35">
      <c r="A285" s="1" t="s">
        <v>595</v>
      </c>
      <c r="B285">
        <v>446</v>
      </c>
      <c r="C285" s="6">
        <f>B285/B321</f>
        <v>0.40545454545454546</v>
      </c>
      <c r="D285" s="6">
        <f>446/$D$3</f>
        <v>0.40545454545454546</v>
      </c>
      <c r="F285">
        <v>407</v>
      </c>
      <c r="G285" s="6">
        <f>F285/F321</f>
        <v>0.44676180021953898</v>
      </c>
      <c r="H285" s="6">
        <f>407/$H$3</f>
        <v>0.44676180021953898</v>
      </c>
      <c r="J285">
        <v>249</v>
      </c>
      <c r="K285" s="6">
        <f>J285/J321</f>
        <v>0.57373271889400923</v>
      </c>
      <c r="L285" s="9">
        <f>249/$L$3</f>
        <v>0.57373271889400923</v>
      </c>
      <c r="N285">
        <v>34</v>
      </c>
      <c r="O285" s="6">
        <f>N285/N321</f>
        <v>0.41975308641975306</v>
      </c>
      <c r="P285" s="6">
        <f>34/$P$3</f>
        <v>0.41975308641975306</v>
      </c>
      <c r="R285">
        <v>234</v>
      </c>
      <c r="S285" s="6">
        <f>R285/R321</f>
        <v>0.41785714285714287</v>
      </c>
      <c r="T285" s="6">
        <f>234/$T$3</f>
        <v>0.41785714285714287</v>
      </c>
      <c r="V285">
        <v>212</v>
      </c>
      <c r="W285" s="6">
        <f>V285/V321</f>
        <v>0.3925925925925926</v>
      </c>
      <c r="X285" s="6">
        <f>212/$X$3</f>
        <v>0.3925925925925926</v>
      </c>
      <c r="Z285">
        <v>45</v>
      </c>
      <c r="AA285" s="6">
        <f>Z285/Z321</f>
        <v>0.39823008849557523</v>
      </c>
      <c r="AB285" s="6">
        <f>45/$AB$3</f>
        <v>0.39823008849557523</v>
      </c>
      <c r="AD285">
        <v>80</v>
      </c>
      <c r="AE285" s="6">
        <f>AD285/AD321</f>
        <v>0.40404040404040403</v>
      </c>
      <c r="AF285" s="6">
        <f>80/$AF$3</f>
        <v>0.40404040404040403</v>
      </c>
      <c r="AH285">
        <v>115</v>
      </c>
      <c r="AI285" s="6">
        <f>AH285/AH321</f>
        <v>0.46558704453441296</v>
      </c>
      <c r="AJ285" s="9">
        <f>115/$AJ$3</f>
        <v>0.46558704453441296</v>
      </c>
      <c r="AK285" s="7"/>
      <c r="AL285">
        <v>112</v>
      </c>
      <c r="AM285" s="6">
        <f>AL285/AL321</f>
        <v>0.48275862068965519</v>
      </c>
      <c r="AN285" s="9">
        <f>112/$AN$3</f>
        <v>0.48275862068965519</v>
      </c>
      <c r="AO285" s="7"/>
      <c r="AP285">
        <v>60</v>
      </c>
      <c r="AQ285" s="6">
        <f>AP285/AP321</f>
        <v>0.32258064516129031</v>
      </c>
      <c r="AR285" s="8">
        <f>60/$AR$3</f>
        <v>0.32258064516129031</v>
      </c>
      <c r="AT285">
        <v>34</v>
      </c>
      <c r="AU285" s="6">
        <f>AT285/AT321</f>
        <v>0.27419354838709675</v>
      </c>
      <c r="AV285" s="8">
        <f>34/$AV$3</f>
        <v>0.27419354838709675</v>
      </c>
      <c r="AX285">
        <v>172</v>
      </c>
      <c r="AY285" s="6">
        <f>AX285/AX321</f>
        <v>0.4</v>
      </c>
      <c r="AZ285" s="6">
        <f>172/$AZ$3</f>
        <v>0.4</v>
      </c>
      <c r="BB285">
        <v>186</v>
      </c>
      <c r="BC285" s="6">
        <f>BB285/BB321</f>
        <v>0.43457943925233644</v>
      </c>
      <c r="BD285" s="6">
        <f>186/$BD$3</f>
        <v>0.43457943925233644</v>
      </c>
      <c r="BF285">
        <v>88</v>
      </c>
      <c r="BG285" s="6">
        <f>BF285/BF321</f>
        <v>0.36363636363636365</v>
      </c>
      <c r="BH285" s="6">
        <f>88/$BH$3</f>
        <v>0.36363636363636365</v>
      </c>
      <c r="BJ285">
        <v>156</v>
      </c>
      <c r="BK285" s="6">
        <f>BJ285/BJ321</f>
        <v>0.38709677419354838</v>
      </c>
      <c r="BL285" s="6">
        <f>156/$BL$3</f>
        <v>0.38709677419354838</v>
      </c>
      <c r="BN285">
        <v>174</v>
      </c>
      <c r="BO285" s="6">
        <f>BN285/BN321</f>
        <v>0.41134751773049644</v>
      </c>
      <c r="BP285" s="6">
        <f>174/$BP$3</f>
        <v>0.41134751773049644</v>
      </c>
      <c r="BR285">
        <v>116</v>
      </c>
      <c r="BS285" s="6">
        <f>BR285/BR321</f>
        <v>0.42335766423357662</v>
      </c>
      <c r="BT285" s="6">
        <f>116/$BT$3</f>
        <v>0.42335766423357662</v>
      </c>
      <c r="BV285">
        <v>110</v>
      </c>
      <c r="BW285" s="6">
        <f>BV285/BV321</f>
        <v>0.36065573770491804</v>
      </c>
      <c r="BX285" s="6">
        <f>110/$BX$3</f>
        <v>0.36065573770491804</v>
      </c>
      <c r="BZ285">
        <v>101</v>
      </c>
      <c r="CA285" s="6">
        <f>BZ285/BZ321</f>
        <v>0.45089285714285715</v>
      </c>
      <c r="CB285" s="6">
        <f>101/$CB$3</f>
        <v>0.45089285714285715</v>
      </c>
      <c r="CD285">
        <v>104</v>
      </c>
      <c r="CE285" s="6">
        <f>CD285/CD321</f>
        <v>0.43153526970954359</v>
      </c>
      <c r="CF285" s="6">
        <f>104/$CF$3</f>
        <v>0.43153526970954359</v>
      </c>
      <c r="CH285">
        <v>131</v>
      </c>
      <c r="CI285" s="6">
        <f>CH285/CH321</f>
        <v>0.39696969696969697</v>
      </c>
      <c r="CJ285" s="6">
        <f>131/$CJ$3</f>
        <v>0.39696969696969697</v>
      </c>
    </row>
    <row r="286" spans="1:88" x14ac:dyDescent="0.35">
      <c r="A286" s="1" t="s">
        <v>596</v>
      </c>
      <c r="B286">
        <v>420</v>
      </c>
      <c r="C286" s="6">
        <f>B286/B321</f>
        <v>0.38181818181818183</v>
      </c>
      <c r="D286" s="6">
        <f>420/$D$3</f>
        <v>0.38181818181818183</v>
      </c>
      <c r="F286">
        <v>380</v>
      </c>
      <c r="G286" s="6">
        <f>F286/F321</f>
        <v>0.41712403951701427</v>
      </c>
      <c r="H286" s="6">
        <f>380/$H$3</f>
        <v>0.41712403951701427</v>
      </c>
      <c r="J286">
        <v>220</v>
      </c>
      <c r="K286" s="6">
        <f>J286/J321</f>
        <v>0.50691244239631339</v>
      </c>
      <c r="L286" s="9">
        <f>220/$L$3</f>
        <v>0.50691244239631339</v>
      </c>
      <c r="N286">
        <v>32</v>
      </c>
      <c r="O286" s="6">
        <f>N286/N321</f>
        <v>0.39506172839506171</v>
      </c>
      <c r="P286" s="6">
        <f>32/$P$3</f>
        <v>0.39506172839506171</v>
      </c>
      <c r="R286">
        <v>219</v>
      </c>
      <c r="S286" s="6">
        <f>R286/R321</f>
        <v>0.39107142857142857</v>
      </c>
      <c r="T286" s="6">
        <f>219/$T$3</f>
        <v>0.39107142857142857</v>
      </c>
      <c r="V286">
        <v>201</v>
      </c>
      <c r="W286" s="6">
        <f>V286/V321</f>
        <v>0.37222222222222223</v>
      </c>
      <c r="X286" s="6">
        <f>201/$X$3</f>
        <v>0.37222222222222223</v>
      </c>
      <c r="Z286">
        <v>45</v>
      </c>
      <c r="AA286" s="6">
        <f>Z286/Z321</f>
        <v>0.39823008849557523</v>
      </c>
      <c r="AB286" s="6">
        <f>45/$AB$3</f>
        <v>0.39823008849557523</v>
      </c>
      <c r="AD286">
        <v>87</v>
      </c>
      <c r="AE286" s="6">
        <f>AD286/AD321</f>
        <v>0.43939393939393939</v>
      </c>
      <c r="AF286" s="6">
        <f>87/$AF$3</f>
        <v>0.43939393939393939</v>
      </c>
      <c r="AG286" s="7"/>
      <c r="AH286">
        <v>99</v>
      </c>
      <c r="AI286" s="6">
        <f>AH286/AH321</f>
        <v>0.40080971659919029</v>
      </c>
      <c r="AJ286" s="6">
        <f>99/$AJ$3</f>
        <v>0.40080971659919029</v>
      </c>
      <c r="AL286">
        <v>87</v>
      </c>
      <c r="AM286" s="6">
        <f>AL286/AL321</f>
        <v>0.375</v>
      </c>
      <c r="AN286" s="6">
        <f>87/$AN$3</f>
        <v>0.375</v>
      </c>
      <c r="AP286">
        <v>69</v>
      </c>
      <c r="AQ286" s="6">
        <f>AP286/AP321</f>
        <v>0.37096774193548387</v>
      </c>
      <c r="AR286" s="6">
        <f>69/$AR$3</f>
        <v>0.37096774193548387</v>
      </c>
      <c r="AT286">
        <v>33</v>
      </c>
      <c r="AU286" s="6">
        <f>AT286/AT321</f>
        <v>0.2661290322580645</v>
      </c>
      <c r="AV286" s="8">
        <f>33/$AV$3</f>
        <v>0.2661290322580645</v>
      </c>
      <c r="AX286">
        <v>167</v>
      </c>
      <c r="AY286" s="6">
        <f>AX286/AX321</f>
        <v>0.38837209302325582</v>
      </c>
      <c r="AZ286" s="6">
        <f>167/$AZ$3</f>
        <v>0.38837209302325582</v>
      </c>
      <c r="BB286">
        <v>163</v>
      </c>
      <c r="BC286" s="6">
        <f>BB286/BB321</f>
        <v>0.38084112149532712</v>
      </c>
      <c r="BD286" s="6">
        <f>163/$BD$3</f>
        <v>0.38084112149532712</v>
      </c>
      <c r="BF286">
        <v>90</v>
      </c>
      <c r="BG286" s="6">
        <f>BF286/BF321</f>
        <v>0.37190082644628097</v>
      </c>
      <c r="BH286" s="6">
        <f>90/$BH$3</f>
        <v>0.37190082644628097</v>
      </c>
      <c r="BJ286">
        <v>138</v>
      </c>
      <c r="BK286" s="6">
        <f>BJ286/BJ321</f>
        <v>0.34243176178660051</v>
      </c>
      <c r="BL286" s="6">
        <f>138/$BL$3</f>
        <v>0.34243176178660051</v>
      </c>
      <c r="BN286">
        <v>163</v>
      </c>
      <c r="BO286" s="6">
        <f>BN286/BN321</f>
        <v>0.38534278959810875</v>
      </c>
      <c r="BP286" s="6">
        <f>163/$BP$3</f>
        <v>0.38534278959810875</v>
      </c>
      <c r="BR286">
        <v>119</v>
      </c>
      <c r="BS286" s="6">
        <f>BR286/BR321</f>
        <v>0.43430656934306572</v>
      </c>
      <c r="BT286" s="9">
        <f>119/$BT$3</f>
        <v>0.43430656934306572</v>
      </c>
      <c r="BV286">
        <v>102</v>
      </c>
      <c r="BW286" s="6">
        <f>BV286/BV321</f>
        <v>0.33442622950819673</v>
      </c>
      <c r="BX286" s="6">
        <f>102/$BX$3</f>
        <v>0.33442622950819673</v>
      </c>
      <c r="BZ286">
        <v>92</v>
      </c>
      <c r="CA286" s="6">
        <f>BZ286/BZ321</f>
        <v>0.4107142857142857</v>
      </c>
      <c r="CB286" s="6">
        <f>92/$CB$3</f>
        <v>0.4107142857142857</v>
      </c>
      <c r="CD286">
        <v>100</v>
      </c>
      <c r="CE286" s="6">
        <f>CD286/CD321</f>
        <v>0.41493775933609961</v>
      </c>
      <c r="CF286" s="6">
        <f>100/$CF$3</f>
        <v>0.41493775933609961</v>
      </c>
      <c r="CH286">
        <v>126</v>
      </c>
      <c r="CI286" s="6">
        <f>CH286/CH321</f>
        <v>0.38181818181818183</v>
      </c>
      <c r="CJ286" s="6">
        <f>126/$CJ$3</f>
        <v>0.38181818181818183</v>
      </c>
    </row>
    <row r="287" spans="1:88" x14ac:dyDescent="0.35">
      <c r="A287" s="1" t="s">
        <v>597</v>
      </c>
      <c r="B287">
        <v>353</v>
      </c>
      <c r="C287" s="6">
        <f>B287/B321</f>
        <v>0.32090909090909092</v>
      </c>
      <c r="D287" s="6">
        <f>353/$D$3</f>
        <v>0.32090909090909092</v>
      </c>
      <c r="F287">
        <v>316</v>
      </c>
      <c r="G287" s="6">
        <f>F287/F321</f>
        <v>0.34687156970362237</v>
      </c>
      <c r="H287" s="6">
        <f>316/$H$3</f>
        <v>0.34687156970362237</v>
      </c>
      <c r="J287">
        <v>182</v>
      </c>
      <c r="K287" s="6">
        <f>J287/J321</f>
        <v>0.41935483870967744</v>
      </c>
      <c r="L287" s="9">
        <f>182/$L$3</f>
        <v>0.41935483870967744</v>
      </c>
      <c r="N287">
        <v>25</v>
      </c>
      <c r="O287" s="6">
        <f>N287/N321</f>
        <v>0.30864197530864196</v>
      </c>
      <c r="P287" s="6">
        <f>25/$P$3</f>
        <v>0.30864197530864196</v>
      </c>
      <c r="R287">
        <v>184</v>
      </c>
      <c r="S287" s="6">
        <f>R287/R321</f>
        <v>0.32857142857142857</v>
      </c>
      <c r="T287" s="6">
        <f>184/$T$3</f>
        <v>0.32857142857142857</v>
      </c>
      <c r="V287">
        <v>169</v>
      </c>
      <c r="W287" s="6">
        <f>V287/V321</f>
        <v>0.31296296296296294</v>
      </c>
      <c r="X287" s="6">
        <f>169/$X$3</f>
        <v>0.31296296296296294</v>
      </c>
      <c r="Z287">
        <v>38</v>
      </c>
      <c r="AA287" s="6">
        <f>Z287/Z321</f>
        <v>0.33628318584070799</v>
      </c>
      <c r="AB287" s="6">
        <f>38/$AB$3</f>
        <v>0.33628318584070799</v>
      </c>
      <c r="AD287">
        <v>66</v>
      </c>
      <c r="AE287" s="6">
        <f>AD287/AD321</f>
        <v>0.33333333333333331</v>
      </c>
      <c r="AF287" s="6">
        <f>66/$AF$3</f>
        <v>0.33333333333333331</v>
      </c>
      <c r="AH287">
        <v>82</v>
      </c>
      <c r="AI287" s="6">
        <f>AH287/AH321</f>
        <v>0.33198380566801622</v>
      </c>
      <c r="AJ287" s="6">
        <f>82/$AJ$3</f>
        <v>0.33198380566801622</v>
      </c>
      <c r="AL287">
        <v>83</v>
      </c>
      <c r="AM287" s="6">
        <f>AL287/AL321</f>
        <v>0.35775862068965519</v>
      </c>
      <c r="AN287" s="6">
        <f>83/$AN$3</f>
        <v>0.35775862068965519</v>
      </c>
      <c r="AP287">
        <v>51</v>
      </c>
      <c r="AQ287" s="6">
        <f>AP287/AP321</f>
        <v>0.27419354838709675</v>
      </c>
      <c r="AR287" s="6">
        <f>51/$AR$3</f>
        <v>0.27419354838709675</v>
      </c>
      <c r="AT287">
        <v>33</v>
      </c>
      <c r="AU287" s="6">
        <f>AT287/AT321</f>
        <v>0.2661290322580645</v>
      </c>
      <c r="AV287" s="6">
        <f>33/$AV$3</f>
        <v>0.2661290322580645</v>
      </c>
      <c r="AX287">
        <v>151</v>
      </c>
      <c r="AY287" s="6">
        <f>AX287/AX321</f>
        <v>0.35116279069767442</v>
      </c>
      <c r="AZ287" s="6">
        <f>151/$AZ$3</f>
        <v>0.35116279069767442</v>
      </c>
      <c r="BB287">
        <v>137</v>
      </c>
      <c r="BC287" s="6">
        <f>BB287/BB321</f>
        <v>0.32009345794392524</v>
      </c>
      <c r="BD287" s="6">
        <f>137/$BD$3</f>
        <v>0.32009345794392524</v>
      </c>
      <c r="BF287">
        <v>65</v>
      </c>
      <c r="BG287" s="6">
        <f>BF287/BF321</f>
        <v>0.26859504132231404</v>
      </c>
      <c r="BH287" s="8">
        <f>65/$BH$3</f>
        <v>0.26859504132231404</v>
      </c>
      <c r="BJ287">
        <v>121</v>
      </c>
      <c r="BK287" s="6">
        <f>BJ287/BJ321</f>
        <v>0.30024813895781638</v>
      </c>
      <c r="BL287" s="6">
        <f>121/$BL$3</f>
        <v>0.30024813895781638</v>
      </c>
      <c r="BN287">
        <v>142</v>
      </c>
      <c r="BO287" s="6">
        <f>BN287/BN321</f>
        <v>0.33569739952718675</v>
      </c>
      <c r="BP287" s="6">
        <f>142/$BP$3</f>
        <v>0.33569739952718675</v>
      </c>
      <c r="BR287">
        <v>90</v>
      </c>
      <c r="BS287" s="6">
        <f>BR287/BR321</f>
        <v>0.32846715328467152</v>
      </c>
      <c r="BT287" s="6">
        <f>90/$BT$3</f>
        <v>0.32846715328467152</v>
      </c>
      <c r="BV287">
        <v>87</v>
      </c>
      <c r="BW287" s="6">
        <f>BV287/BV321</f>
        <v>0.28524590163934427</v>
      </c>
      <c r="BX287" s="6">
        <f>87/$BX$3</f>
        <v>0.28524590163934427</v>
      </c>
      <c r="BZ287">
        <v>73</v>
      </c>
      <c r="CA287" s="6">
        <f>BZ287/BZ321</f>
        <v>0.32589285714285715</v>
      </c>
      <c r="CB287" s="6">
        <f>73/$CB$3</f>
        <v>0.32589285714285715</v>
      </c>
      <c r="CD287">
        <v>86</v>
      </c>
      <c r="CE287" s="6">
        <f>CD287/CD321</f>
        <v>0.35684647302904565</v>
      </c>
      <c r="CF287" s="6">
        <f>86/$CF$3</f>
        <v>0.35684647302904565</v>
      </c>
      <c r="CH287">
        <v>107</v>
      </c>
      <c r="CI287" s="6">
        <f>CH287/CH321</f>
        <v>0.32424242424242422</v>
      </c>
      <c r="CJ287" s="6">
        <f>107/$CJ$3</f>
        <v>0.32424242424242422</v>
      </c>
    </row>
    <row r="288" spans="1:88" x14ac:dyDescent="0.35">
      <c r="A288" s="1" t="s">
        <v>598</v>
      </c>
      <c r="B288">
        <v>396</v>
      </c>
      <c r="C288" s="6">
        <f>B288/B321</f>
        <v>0.36</v>
      </c>
      <c r="D288" s="6">
        <f>396/$D$3</f>
        <v>0.36</v>
      </c>
      <c r="F288">
        <v>358</v>
      </c>
      <c r="G288" s="6">
        <f>F288/F321</f>
        <v>0.39297475301866081</v>
      </c>
      <c r="H288" s="6">
        <f>358/$H$3</f>
        <v>0.39297475301866081</v>
      </c>
      <c r="J288">
        <v>217</v>
      </c>
      <c r="K288" s="6">
        <f>J288/J321</f>
        <v>0.5</v>
      </c>
      <c r="L288" s="9">
        <f>217/$L$3</f>
        <v>0.5</v>
      </c>
      <c r="N288">
        <v>26</v>
      </c>
      <c r="O288" s="6">
        <f>N288/N321</f>
        <v>0.32098765432098764</v>
      </c>
      <c r="P288" s="6">
        <f>26/$P$3</f>
        <v>0.32098765432098764</v>
      </c>
      <c r="R288">
        <v>197</v>
      </c>
      <c r="S288" s="6">
        <f>R288/R321</f>
        <v>0.35178571428571431</v>
      </c>
      <c r="T288" s="6">
        <f>197/$T$3</f>
        <v>0.35178571428571431</v>
      </c>
      <c r="V288">
        <v>199</v>
      </c>
      <c r="W288" s="6">
        <f>V288/V321</f>
        <v>0.36851851851851852</v>
      </c>
      <c r="X288" s="6">
        <f>199/$X$3</f>
        <v>0.36851851851851852</v>
      </c>
      <c r="Z288">
        <v>43</v>
      </c>
      <c r="AA288" s="6">
        <f>Z288/Z321</f>
        <v>0.38053097345132741</v>
      </c>
      <c r="AB288" s="6">
        <f>43/$AB$3</f>
        <v>0.38053097345132741</v>
      </c>
      <c r="AD288">
        <v>82</v>
      </c>
      <c r="AE288" s="6">
        <f>AD288/AD321</f>
        <v>0.41414141414141414</v>
      </c>
      <c r="AF288" s="6">
        <f>82/$AF$3</f>
        <v>0.41414141414141414</v>
      </c>
      <c r="AH288">
        <v>88</v>
      </c>
      <c r="AI288" s="6">
        <f>AH288/AH321</f>
        <v>0.35627530364372467</v>
      </c>
      <c r="AJ288" s="6">
        <f>88/$AJ$3</f>
        <v>0.35627530364372467</v>
      </c>
      <c r="AL288">
        <v>89</v>
      </c>
      <c r="AM288" s="6">
        <f>AL288/AL321</f>
        <v>0.38362068965517243</v>
      </c>
      <c r="AN288" s="6">
        <f>89/$AN$3</f>
        <v>0.38362068965517243</v>
      </c>
      <c r="AP288">
        <v>57</v>
      </c>
      <c r="AQ288" s="6">
        <f>AP288/AP321</f>
        <v>0.30645161290322581</v>
      </c>
      <c r="AR288" s="6">
        <f>57/$AR$3</f>
        <v>0.30645161290322581</v>
      </c>
      <c r="AT288">
        <v>37</v>
      </c>
      <c r="AU288" s="6">
        <f>AT288/AT321</f>
        <v>0.29838709677419356</v>
      </c>
      <c r="AV288" s="6">
        <f>37/$AV$3</f>
        <v>0.29838709677419356</v>
      </c>
      <c r="AX288">
        <v>163</v>
      </c>
      <c r="AY288" s="6">
        <f>AX288/AX321</f>
        <v>0.37906976744186044</v>
      </c>
      <c r="AZ288" s="6">
        <f>163/$AZ$3</f>
        <v>0.37906976744186044</v>
      </c>
      <c r="BB288">
        <v>160</v>
      </c>
      <c r="BC288" s="6">
        <f>BB288/BB321</f>
        <v>0.37383177570093457</v>
      </c>
      <c r="BD288" s="6">
        <f>160/$BD$3</f>
        <v>0.37383177570093457</v>
      </c>
      <c r="BF288">
        <v>73</v>
      </c>
      <c r="BG288" s="6">
        <f>BF288/BF321</f>
        <v>0.30165289256198347</v>
      </c>
      <c r="BH288" s="8">
        <f>73/$BH$3</f>
        <v>0.30165289256198347</v>
      </c>
      <c r="BJ288">
        <v>144</v>
      </c>
      <c r="BK288" s="6">
        <f>BJ288/BJ321</f>
        <v>0.35732009925558311</v>
      </c>
      <c r="BL288" s="6">
        <f>144/$BL$3</f>
        <v>0.35732009925558311</v>
      </c>
      <c r="BN288">
        <v>154</v>
      </c>
      <c r="BO288" s="6">
        <f>BN288/BN321</f>
        <v>0.36406619385342792</v>
      </c>
      <c r="BP288" s="6">
        <f>154/$BP$3</f>
        <v>0.36406619385342792</v>
      </c>
      <c r="BR288">
        <v>98</v>
      </c>
      <c r="BS288" s="6">
        <f>BR288/BR321</f>
        <v>0.35766423357664234</v>
      </c>
      <c r="BT288" s="6">
        <f>98/$BT$3</f>
        <v>0.35766423357664234</v>
      </c>
      <c r="BV288">
        <v>102</v>
      </c>
      <c r="BW288" s="6">
        <f>BV288/BV321</f>
        <v>0.33442622950819673</v>
      </c>
      <c r="BX288" s="6">
        <f>102/$BX$3</f>
        <v>0.33442622950819673</v>
      </c>
      <c r="BZ288">
        <v>87</v>
      </c>
      <c r="CA288" s="6">
        <f>BZ288/BZ321</f>
        <v>0.38839285714285715</v>
      </c>
      <c r="CB288" s="6">
        <f>87/$CB$3</f>
        <v>0.38839285714285715</v>
      </c>
      <c r="CD288">
        <v>90</v>
      </c>
      <c r="CE288" s="6">
        <f>CD288/CD321</f>
        <v>0.37344398340248963</v>
      </c>
      <c r="CF288" s="6">
        <f>90/$CF$3</f>
        <v>0.37344398340248963</v>
      </c>
      <c r="CH288">
        <v>117</v>
      </c>
      <c r="CI288" s="6">
        <f>CH288/CH321</f>
        <v>0.35454545454545455</v>
      </c>
      <c r="CJ288" s="6">
        <f>117/$CJ$3</f>
        <v>0.35454545454545455</v>
      </c>
    </row>
    <row r="289" spans="1:88" x14ac:dyDescent="0.35">
      <c r="A289" s="1" t="s">
        <v>599</v>
      </c>
      <c r="B289">
        <v>201</v>
      </c>
      <c r="C289" s="6">
        <f>B289/B321</f>
        <v>0.18272727272727274</v>
      </c>
      <c r="D289" s="6">
        <f>201/$D$3</f>
        <v>0.18272727272727274</v>
      </c>
      <c r="F289">
        <v>190</v>
      </c>
      <c r="G289" s="6">
        <f>F289/F321</f>
        <v>0.20856201975850713</v>
      </c>
      <c r="H289" s="6">
        <f>190/$H$3</f>
        <v>0.20856201975850713</v>
      </c>
      <c r="J289">
        <v>109</v>
      </c>
      <c r="K289" s="6">
        <f>J289/J321</f>
        <v>0.25115207373271892</v>
      </c>
      <c r="L289" s="9">
        <f>109/$L$3</f>
        <v>0.25115207373271892</v>
      </c>
      <c r="N289">
        <v>12</v>
      </c>
      <c r="O289" s="6">
        <f>N289/N321</f>
        <v>0.14814814814814814</v>
      </c>
      <c r="P289" s="6">
        <f>12/$P$3</f>
        <v>0.14814814814814814</v>
      </c>
      <c r="R289">
        <v>105</v>
      </c>
      <c r="S289" s="6">
        <f>R289/R321</f>
        <v>0.1875</v>
      </c>
      <c r="T289" s="6">
        <f>105/$T$3</f>
        <v>0.1875</v>
      </c>
      <c r="V289">
        <v>96</v>
      </c>
      <c r="W289" s="6">
        <f>V289/V321</f>
        <v>0.17777777777777778</v>
      </c>
      <c r="X289" s="6">
        <f>96/$X$3</f>
        <v>0.17777777777777778</v>
      </c>
      <c r="Z289">
        <v>28</v>
      </c>
      <c r="AA289" s="6">
        <f>Z289/Z321</f>
        <v>0.24778761061946902</v>
      </c>
      <c r="AB289" s="6">
        <f>28/$AB$3</f>
        <v>0.24778761061946902</v>
      </c>
      <c r="AC289" s="7"/>
      <c r="AD289">
        <v>43</v>
      </c>
      <c r="AE289" s="6">
        <f>AD289/AD321</f>
        <v>0.21717171717171718</v>
      </c>
      <c r="AF289" s="6">
        <f>43/$AF$3</f>
        <v>0.21717171717171718</v>
      </c>
      <c r="AG289" s="7"/>
      <c r="AH289">
        <v>47</v>
      </c>
      <c r="AI289" s="6">
        <f>AH289/AH321</f>
        <v>0.19028340080971659</v>
      </c>
      <c r="AJ289" s="6">
        <f>47/$AJ$3</f>
        <v>0.19028340080971659</v>
      </c>
      <c r="AK289" s="7"/>
      <c r="AL289">
        <v>48</v>
      </c>
      <c r="AM289" s="6">
        <f>AL289/AL321</f>
        <v>0.20689655172413793</v>
      </c>
      <c r="AN289" s="6">
        <f>48/$AN$3</f>
        <v>0.20689655172413793</v>
      </c>
      <c r="AO289" s="7"/>
      <c r="AP289">
        <v>25</v>
      </c>
      <c r="AQ289" s="6">
        <f>AP289/AP321</f>
        <v>0.13440860215053763</v>
      </c>
      <c r="AR289" s="6">
        <f>25/$AR$3</f>
        <v>0.13440860215053763</v>
      </c>
      <c r="AT289">
        <v>10</v>
      </c>
      <c r="AU289" s="6">
        <f>AT289/AT321</f>
        <v>8.0645161290322578E-2</v>
      </c>
      <c r="AV289" s="8">
        <f>10/$AV$3</f>
        <v>8.0645161290322578E-2</v>
      </c>
      <c r="AX289">
        <v>98</v>
      </c>
      <c r="AY289" s="6">
        <f>AX289/AX321</f>
        <v>0.22790697674418606</v>
      </c>
      <c r="AZ289" s="6">
        <f>98/$AZ$3</f>
        <v>0.22790697674418606</v>
      </c>
      <c r="BA289" s="7" t="s">
        <v>5</v>
      </c>
      <c r="BB289">
        <v>72</v>
      </c>
      <c r="BC289" s="6">
        <f>BB289/BB321</f>
        <v>0.16822429906542055</v>
      </c>
      <c r="BD289" s="6">
        <f>72/$BD$3</f>
        <v>0.16822429906542055</v>
      </c>
      <c r="BF289">
        <v>31</v>
      </c>
      <c r="BG289" s="6">
        <f>BF289/BF321</f>
        <v>0.128099173553719</v>
      </c>
      <c r="BH289" s="8">
        <f>31/$BH$3</f>
        <v>0.128099173553719</v>
      </c>
      <c r="BJ289">
        <v>71</v>
      </c>
      <c r="BK289" s="6">
        <f>BJ289/BJ321</f>
        <v>0.17617866004962779</v>
      </c>
      <c r="BL289" s="6">
        <f>71/$BL$3</f>
        <v>0.17617866004962779</v>
      </c>
      <c r="BN289">
        <v>84</v>
      </c>
      <c r="BO289" s="6">
        <f>BN289/BN321</f>
        <v>0.19858156028368795</v>
      </c>
      <c r="BP289" s="6">
        <f>84/$BP$3</f>
        <v>0.19858156028368795</v>
      </c>
      <c r="BR289">
        <v>46</v>
      </c>
      <c r="BS289" s="6">
        <f>BR289/BR321</f>
        <v>0.16788321167883211</v>
      </c>
      <c r="BT289" s="6">
        <f>46/$BT$3</f>
        <v>0.16788321167883211</v>
      </c>
      <c r="BV289">
        <v>52</v>
      </c>
      <c r="BW289" s="6">
        <f>BV289/BV321</f>
        <v>0.17049180327868851</v>
      </c>
      <c r="BX289" s="6">
        <f>52/$BX$3</f>
        <v>0.17049180327868851</v>
      </c>
      <c r="BZ289">
        <v>47</v>
      </c>
      <c r="CA289" s="6">
        <f>BZ289/BZ321</f>
        <v>0.20982142857142858</v>
      </c>
      <c r="CB289" s="6">
        <f>47/$CB$3</f>
        <v>0.20982142857142858</v>
      </c>
      <c r="CD289">
        <v>45</v>
      </c>
      <c r="CE289" s="6">
        <f>CD289/CD321</f>
        <v>0.18672199170124482</v>
      </c>
      <c r="CF289" s="6">
        <f>45/$CF$3</f>
        <v>0.18672199170124482</v>
      </c>
      <c r="CH289">
        <v>57</v>
      </c>
      <c r="CI289" s="6">
        <f>CH289/CH321</f>
        <v>0.17272727272727273</v>
      </c>
      <c r="CJ289" s="6">
        <f>57/$CJ$3</f>
        <v>0.17272727272727273</v>
      </c>
    </row>
    <row r="290" spans="1:88" x14ac:dyDescent="0.35">
      <c r="A290" s="1" t="s">
        <v>600</v>
      </c>
      <c r="B290">
        <v>315</v>
      </c>
      <c r="C290" s="6">
        <f>B290/B321</f>
        <v>0.28636363636363638</v>
      </c>
      <c r="D290" s="6">
        <f>315/$D$3</f>
        <v>0.28636363636363638</v>
      </c>
      <c r="F290">
        <v>290</v>
      </c>
      <c r="G290" s="6">
        <f>F290/F321</f>
        <v>0.31833150384193193</v>
      </c>
      <c r="H290" s="6">
        <f>290/$H$3</f>
        <v>0.31833150384193193</v>
      </c>
      <c r="J290">
        <v>157</v>
      </c>
      <c r="K290" s="6">
        <f>J290/J321</f>
        <v>0.36175115207373271</v>
      </c>
      <c r="L290" s="9">
        <f>157/$L$3</f>
        <v>0.36175115207373271</v>
      </c>
      <c r="N290">
        <v>23</v>
      </c>
      <c r="O290" s="6">
        <f>N290/N321</f>
        <v>0.2839506172839506</v>
      </c>
      <c r="P290" s="6">
        <f>23/$P$3</f>
        <v>0.2839506172839506</v>
      </c>
      <c r="R290">
        <v>157</v>
      </c>
      <c r="S290" s="6">
        <f>R290/R321</f>
        <v>0.28035714285714286</v>
      </c>
      <c r="T290" s="6">
        <f>157/$T$3</f>
        <v>0.28035714285714286</v>
      </c>
      <c r="V290">
        <v>158</v>
      </c>
      <c r="W290" s="6">
        <f>V290/V321</f>
        <v>0.29259259259259257</v>
      </c>
      <c r="X290" s="6">
        <f>158/$X$3</f>
        <v>0.29259259259259257</v>
      </c>
      <c r="Z290">
        <v>38</v>
      </c>
      <c r="AA290" s="6">
        <f>Z290/Z321</f>
        <v>0.33628318584070799</v>
      </c>
      <c r="AB290" s="6">
        <f>38/$AB$3</f>
        <v>0.33628318584070799</v>
      </c>
      <c r="AC290" s="7"/>
      <c r="AD290">
        <v>56</v>
      </c>
      <c r="AE290" s="6">
        <f>AD290/AD321</f>
        <v>0.28282828282828282</v>
      </c>
      <c r="AF290" s="6">
        <f>56/$AF$3</f>
        <v>0.28282828282828282</v>
      </c>
      <c r="AG290" s="7"/>
      <c r="AH290">
        <v>88</v>
      </c>
      <c r="AI290" s="6">
        <f>AH290/AH321</f>
        <v>0.35627530364372467</v>
      </c>
      <c r="AJ290" s="9">
        <f>88/$AJ$3</f>
        <v>0.35627530364372467</v>
      </c>
      <c r="AK290" s="7"/>
      <c r="AL290">
        <v>73</v>
      </c>
      <c r="AM290" s="6">
        <f>AL290/AL321</f>
        <v>0.31465517241379309</v>
      </c>
      <c r="AN290" s="6">
        <f>73/$AN$3</f>
        <v>0.31465517241379309</v>
      </c>
      <c r="AO290" s="7"/>
      <c r="AP290">
        <v>42</v>
      </c>
      <c r="AQ290" s="6">
        <f>AP290/AP321</f>
        <v>0.22580645161290322</v>
      </c>
      <c r="AR290" s="8">
        <f>42/$AR$3</f>
        <v>0.22580645161290322</v>
      </c>
      <c r="AT290">
        <v>18</v>
      </c>
      <c r="AU290" s="6">
        <f>AT290/AT321</f>
        <v>0.14516129032258066</v>
      </c>
      <c r="AV290" s="8">
        <f>18/$AV$3</f>
        <v>0.14516129032258066</v>
      </c>
      <c r="AX290">
        <v>135</v>
      </c>
      <c r="AY290" s="6">
        <f>AX290/AX321</f>
        <v>0.31395348837209303</v>
      </c>
      <c r="AZ290" s="6">
        <f>135/$AZ$3</f>
        <v>0.31395348837209303</v>
      </c>
      <c r="BB290">
        <v>114</v>
      </c>
      <c r="BC290" s="6">
        <f>BB290/BB321</f>
        <v>0.26635514018691586</v>
      </c>
      <c r="BD290" s="6">
        <f>114/$BD$3</f>
        <v>0.26635514018691586</v>
      </c>
      <c r="BF290">
        <v>66</v>
      </c>
      <c r="BG290" s="6">
        <f>BF290/BF321</f>
        <v>0.27272727272727271</v>
      </c>
      <c r="BH290" s="6">
        <f>66/$BH$3</f>
        <v>0.27272727272727271</v>
      </c>
      <c r="BJ290">
        <v>119</v>
      </c>
      <c r="BK290" s="6">
        <f>BJ290/BJ321</f>
        <v>0.29528535980148884</v>
      </c>
      <c r="BL290" s="6">
        <f>119/$BL$3</f>
        <v>0.29528535980148884</v>
      </c>
      <c r="BN290">
        <v>111</v>
      </c>
      <c r="BO290" s="6">
        <f>BN290/BN321</f>
        <v>0.26241134751773049</v>
      </c>
      <c r="BP290" s="6">
        <f>111/$BP$3</f>
        <v>0.26241134751773049</v>
      </c>
      <c r="BR290">
        <v>85</v>
      </c>
      <c r="BS290" s="6">
        <f>BR290/BR321</f>
        <v>0.31021897810218979</v>
      </c>
      <c r="BT290" s="6">
        <f>85/$BT$3</f>
        <v>0.31021897810218979</v>
      </c>
      <c r="BV290">
        <v>83</v>
      </c>
      <c r="BW290" s="6">
        <f>BV290/BV321</f>
        <v>0.27213114754098361</v>
      </c>
      <c r="BX290" s="6">
        <f>83/$BX$3</f>
        <v>0.27213114754098361</v>
      </c>
      <c r="BZ290">
        <v>78</v>
      </c>
      <c r="CA290" s="6">
        <f>BZ290/BZ321</f>
        <v>0.3482142857142857</v>
      </c>
      <c r="CB290" s="9">
        <f>78/$CB$3</f>
        <v>0.3482142857142857</v>
      </c>
      <c r="CD290">
        <v>65</v>
      </c>
      <c r="CE290" s="6">
        <f>CD290/CD321</f>
        <v>0.26970954356846472</v>
      </c>
      <c r="CF290" s="6">
        <f>65/$CF$3</f>
        <v>0.26970954356846472</v>
      </c>
      <c r="CH290">
        <v>89</v>
      </c>
      <c r="CI290" s="6">
        <f>CH290/CH321</f>
        <v>0.26969696969696971</v>
      </c>
      <c r="CJ290" s="6">
        <f>89/$CJ$3</f>
        <v>0.26969696969696971</v>
      </c>
    </row>
    <row r="291" spans="1:88" x14ac:dyDescent="0.35">
      <c r="A291" s="1" t="s">
        <v>601</v>
      </c>
      <c r="B291">
        <v>232</v>
      </c>
      <c r="C291" s="6">
        <f>B291/B321</f>
        <v>0.21090909090909091</v>
      </c>
      <c r="D291" s="6">
        <f>232/$D$3</f>
        <v>0.21090909090909091</v>
      </c>
      <c r="F291">
        <v>211</v>
      </c>
      <c r="G291" s="6">
        <f>F291/F321</f>
        <v>0.23161361141602635</v>
      </c>
      <c r="H291" s="6">
        <f>211/$H$3</f>
        <v>0.23161361141602635</v>
      </c>
      <c r="J291">
        <v>123</v>
      </c>
      <c r="K291" s="6">
        <f>J291/J321</f>
        <v>0.28341013824884792</v>
      </c>
      <c r="L291" s="9">
        <f>123/$L$3</f>
        <v>0.28341013824884792</v>
      </c>
      <c r="N291">
        <v>18</v>
      </c>
      <c r="O291" s="6">
        <f>N291/N321</f>
        <v>0.22222222222222221</v>
      </c>
      <c r="P291" s="6">
        <f>18/$P$3</f>
        <v>0.22222222222222221</v>
      </c>
      <c r="R291">
        <v>144</v>
      </c>
      <c r="S291" s="6">
        <f>R291/R321</f>
        <v>0.25714285714285712</v>
      </c>
      <c r="T291" s="6">
        <f>144/$T$3</f>
        <v>0.25714285714285712</v>
      </c>
      <c r="V291">
        <v>88</v>
      </c>
      <c r="W291" s="6">
        <f>V291/V321</f>
        <v>0.16296296296296298</v>
      </c>
      <c r="X291" s="6">
        <f>88/$X$3</f>
        <v>0.16296296296296298</v>
      </c>
      <c r="Z291">
        <v>35</v>
      </c>
      <c r="AA291" s="6">
        <f>Z291/Z321</f>
        <v>0.30973451327433627</v>
      </c>
      <c r="AB291" s="9">
        <f>35/$AB$3</f>
        <v>0.30973451327433627</v>
      </c>
      <c r="AC291" s="7"/>
      <c r="AD291">
        <v>40</v>
      </c>
      <c r="AE291" s="6">
        <f>AD291/AD321</f>
        <v>0.20202020202020202</v>
      </c>
      <c r="AF291" s="6">
        <f>40/$AF$3</f>
        <v>0.20202020202020202</v>
      </c>
      <c r="AH291">
        <v>61</v>
      </c>
      <c r="AI291" s="6">
        <f>AH291/AH321</f>
        <v>0.24696356275303644</v>
      </c>
      <c r="AJ291" s="6">
        <f>61/$AJ$3</f>
        <v>0.24696356275303644</v>
      </c>
      <c r="AK291" s="7"/>
      <c r="AL291">
        <v>54</v>
      </c>
      <c r="AM291" s="6">
        <f>AL291/AL321</f>
        <v>0.23275862068965517</v>
      </c>
      <c r="AN291" s="6">
        <f>54/$AN$3</f>
        <v>0.23275862068965517</v>
      </c>
      <c r="AO291" s="7"/>
      <c r="AP291">
        <v>30</v>
      </c>
      <c r="AQ291" s="6">
        <f>AP291/AP321</f>
        <v>0.16129032258064516</v>
      </c>
      <c r="AR291" s="6">
        <f>30/$AR$3</f>
        <v>0.16129032258064516</v>
      </c>
      <c r="AT291">
        <v>12</v>
      </c>
      <c r="AU291" s="6">
        <f>AT291/AT321</f>
        <v>9.6774193548387094E-2</v>
      </c>
      <c r="AV291" s="8">
        <f>12/$AV$3</f>
        <v>9.6774193548387094E-2</v>
      </c>
      <c r="AX291">
        <v>97</v>
      </c>
      <c r="AY291" s="6">
        <f>AX291/AX321</f>
        <v>0.2255813953488372</v>
      </c>
      <c r="AZ291" s="6">
        <f>97/$AZ$3</f>
        <v>0.2255813953488372</v>
      </c>
      <c r="BB291">
        <v>94</v>
      </c>
      <c r="BC291" s="6">
        <f>BB291/BB321</f>
        <v>0.21962616822429906</v>
      </c>
      <c r="BD291" s="6">
        <f>94/$BD$3</f>
        <v>0.21962616822429906</v>
      </c>
      <c r="BF291">
        <v>41</v>
      </c>
      <c r="BG291" s="6">
        <f>BF291/BF321</f>
        <v>0.16942148760330578</v>
      </c>
      <c r="BH291" s="6">
        <f>41/$BH$3</f>
        <v>0.16942148760330578</v>
      </c>
      <c r="BJ291">
        <v>79</v>
      </c>
      <c r="BK291" s="6">
        <f>BJ291/BJ321</f>
        <v>0.19602977667493796</v>
      </c>
      <c r="BL291" s="6">
        <f>79/$BL$3</f>
        <v>0.19602977667493796</v>
      </c>
      <c r="BN291">
        <v>91</v>
      </c>
      <c r="BO291" s="6">
        <f>BN291/BN321</f>
        <v>0.21513002364066194</v>
      </c>
      <c r="BP291" s="6">
        <f>91/$BP$3</f>
        <v>0.21513002364066194</v>
      </c>
      <c r="BR291">
        <v>62</v>
      </c>
      <c r="BS291" s="6">
        <f>BR291/BR321</f>
        <v>0.22627737226277372</v>
      </c>
      <c r="BT291" s="6">
        <f>62/$BT$3</f>
        <v>0.22627737226277372</v>
      </c>
      <c r="BV291">
        <v>58</v>
      </c>
      <c r="BW291" s="6">
        <f>BV291/BV321</f>
        <v>0.1901639344262295</v>
      </c>
      <c r="BX291" s="6">
        <f>58/$BX$3</f>
        <v>0.1901639344262295</v>
      </c>
      <c r="BZ291">
        <v>49</v>
      </c>
      <c r="CA291" s="6">
        <f>BZ291/BZ321</f>
        <v>0.21875</v>
      </c>
      <c r="CB291" s="6">
        <f>49/$CB$3</f>
        <v>0.21875</v>
      </c>
      <c r="CD291">
        <v>58</v>
      </c>
      <c r="CE291" s="6">
        <f>CD291/CD321</f>
        <v>0.24066390041493776</v>
      </c>
      <c r="CF291" s="6">
        <f>58/$CF$3</f>
        <v>0.24066390041493776</v>
      </c>
      <c r="CH291">
        <v>67</v>
      </c>
      <c r="CI291" s="6">
        <f>CH291/CH321</f>
        <v>0.20303030303030303</v>
      </c>
      <c r="CJ291" s="6">
        <f>67/$CJ$3</f>
        <v>0.20303030303030303</v>
      </c>
    </row>
    <row r="293" spans="1:88" x14ac:dyDescent="0.35">
      <c r="A293" s="1" t="s">
        <v>602</v>
      </c>
      <c r="B293">
        <v>458</v>
      </c>
      <c r="C293" s="6">
        <f>B293/B321</f>
        <v>0.41636363636363638</v>
      </c>
      <c r="D293" s="6">
        <f>458/$D$3</f>
        <v>0.41636363636363638</v>
      </c>
      <c r="F293">
        <v>395</v>
      </c>
      <c r="G293" s="6">
        <f>F293/F321</f>
        <v>0.43358946212952798</v>
      </c>
      <c r="H293" s="6">
        <f>395/$H$3</f>
        <v>0.43358946212952798</v>
      </c>
      <c r="J293">
        <v>207</v>
      </c>
      <c r="K293" s="6">
        <f>J293/J321</f>
        <v>0.47695852534562211</v>
      </c>
      <c r="L293" s="9">
        <f>207/$L$3</f>
        <v>0.47695852534562211</v>
      </c>
      <c r="N293">
        <v>36</v>
      </c>
      <c r="O293" s="6">
        <f>N293/N321</f>
        <v>0.44444444444444442</v>
      </c>
      <c r="P293" s="6">
        <f>36/$P$3</f>
        <v>0.44444444444444442</v>
      </c>
      <c r="R293">
        <v>226</v>
      </c>
      <c r="S293" s="6">
        <f>R293/R321</f>
        <v>0.40357142857142858</v>
      </c>
      <c r="T293" s="6">
        <f>226/$T$3</f>
        <v>0.40357142857142858</v>
      </c>
      <c r="V293">
        <v>232</v>
      </c>
      <c r="W293" s="6">
        <f>V293/V321</f>
        <v>0.42962962962962964</v>
      </c>
      <c r="X293" s="6">
        <f>232/$X$3</f>
        <v>0.42962962962962964</v>
      </c>
      <c r="Z293">
        <v>52</v>
      </c>
      <c r="AA293" s="6">
        <f>Z293/Z321</f>
        <v>0.46017699115044247</v>
      </c>
      <c r="AB293" s="6">
        <f>52/$AB$3</f>
        <v>0.46017699115044247</v>
      </c>
      <c r="AD293">
        <v>97</v>
      </c>
      <c r="AE293" s="6">
        <f>AD293/AD321</f>
        <v>0.48989898989898989</v>
      </c>
      <c r="AF293" s="9">
        <f>97/$AF$3</f>
        <v>0.48989898989898989</v>
      </c>
      <c r="AG293" s="7"/>
      <c r="AH293">
        <v>111</v>
      </c>
      <c r="AI293" s="6">
        <f>AH293/AH321</f>
        <v>0.44939271255060731</v>
      </c>
      <c r="AJ293" s="6">
        <f>111/$AJ$3</f>
        <v>0.44939271255060731</v>
      </c>
      <c r="AK293" s="7"/>
      <c r="AL293">
        <v>99</v>
      </c>
      <c r="AM293" s="6">
        <f>AL293/AL321</f>
        <v>0.42672413793103448</v>
      </c>
      <c r="AN293" s="6">
        <f>99/$AN$3</f>
        <v>0.42672413793103448</v>
      </c>
      <c r="AP293">
        <v>59</v>
      </c>
      <c r="AQ293" s="6">
        <f>AP293/AP321</f>
        <v>0.31720430107526881</v>
      </c>
      <c r="AR293" s="8">
        <f>59/$AR$3</f>
        <v>0.31720430107526881</v>
      </c>
      <c r="AT293">
        <v>40</v>
      </c>
      <c r="AU293" s="6">
        <f>AT293/AT321</f>
        <v>0.32258064516129031</v>
      </c>
      <c r="AV293" s="8">
        <f>40/$AV$3</f>
        <v>0.32258064516129031</v>
      </c>
      <c r="AX293">
        <v>181</v>
      </c>
      <c r="AY293" s="6">
        <f>AX293/AX321</f>
        <v>0.42093023255813955</v>
      </c>
      <c r="AZ293" s="6">
        <f>181/$AZ$3</f>
        <v>0.42093023255813955</v>
      </c>
      <c r="BB293">
        <v>175</v>
      </c>
      <c r="BC293" s="6">
        <f>BB293/BB321</f>
        <v>0.40887850467289721</v>
      </c>
      <c r="BD293" s="6">
        <f>175/$BD$3</f>
        <v>0.40887850467289721</v>
      </c>
      <c r="BF293">
        <v>102</v>
      </c>
      <c r="BG293" s="6">
        <f>BF293/BF321</f>
        <v>0.42148760330578511</v>
      </c>
      <c r="BH293" s="6">
        <f>102/$BH$3</f>
        <v>0.42148760330578511</v>
      </c>
      <c r="BJ293">
        <v>172</v>
      </c>
      <c r="BK293" s="6">
        <f>BJ293/BJ321</f>
        <v>0.42679900744416871</v>
      </c>
      <c r="BL293" s="6">
        <f>172/$BL$3</f>
        <v>0.42679900744416871</v>
      </c>
      <c r="BN293">
        <v>173</v>
      </c>
      <c r="BO293" s="6">
        <f>BN293/BN321</f>
        <v>0.40898345153664301</v>
      </c>
      <c r="BP293" s="6">
        <f>173/$BP$3</f>
        <v>0.40898345153664301</v>
      </c>
      <c r="BR293">
        <v>113</v>
      </c>
      <c r="BS293" s="6">
        <f>BR293/BR321</f>
        <v>0.41240875912408759</v>
      </c>
      <c r="BT293" s="6">
        <f>113/$BT$3</f>
        <v>0.41240875912408759</v>
      </c>
      <c r="BV293">
        <v>125</v>
      </c>
      <c r="BW293" s="6">
        <f>BV293/BV321</f>
        <v>0.4098360655737705</v>
      </c>
      <c r="BX293" s="6">
        <f>125/$BX$3</f>
        <v>0.4098360655737705</v>
      </c>
      <c r="BZ293">
        <v>102</v>
      </c>
      <c r="CA293" s="6">
        <f>BZ293/BZ321</f>
        <v>0.45535714285714285</v>
      </c>
      <c r="CB293" s="6">
        <f>102/$CB$3</f>
        <v>0.45535714285714285</v>
      </c>
      <c r="CD293">
        <v>92</v>
      </c>
      <c r="CE293" s="6">
        <f>CD293/CD321</f>
        <v>0.38174273858921159</v>
      </c>
      <c r="CF293" s="6">
        <f>92/$CF$3</f>
        <v>0.38174273858921159</v>
      </c>
      <c r="CH293">
        <v>139</v>
      </c>
      <c r="CI293" s="6">
        <f>CH293/CH321</f>
        <v>0.4212121212121212</v>
      </c>
      <c r="CJ293" s="6">
        <f>139/$CJ$3</f>
        <v>0.4212121212121212</v>
      </c>
    </row>
    <row r="294" spans="1:88" x14ac:dyDescent="0.35">
      <c r="A294" s="1" t="s">
        <v>547</v>
      </c>
      <c r="B294">
        <v>389</v>
      </c>
      <c r="C294" s="6">
        <f>B294/B321</f>
        <v>0.35363636363636364</v>
      </c>
      <c r="D294" s="6">
        <f>389/$D$3</f>
        <v>0.35363636363636364</v>
      </c>
      <c r="F294">
        <v>331</v>
      </c>
      <c r="G294" s="6">
        <f>F294/F321</f>
        <v>0.36333699231613609</v>
      </c>
      <c r="H294" s="6">
        <f>331/$H$3</f>
        <v>0.36333699231613609</v>
      </c>
      <c r="J294">
        <v>142</v>
      </c>
      <c r="K294" s="6">
        <f>J294/J321</f>
        <v>0.32718894009216593</v>
      </c>
      <c r="L294" s="6">
        <f>142/$L$3</f>
        <v>0.32718894009216593</v>
      </c>
      <c r="N294">
        <v>29</v>
      </c>
      <c r="O294" s="6">
        <f>N294/N321</f>
        <v>0.35802469135802467</v>
      </c>
      <c r="P294" s="6">
        <f>29/$P$3</f>
        <v>0.35802469135802467</v>
      </c>
      <c r="R294">
        <v>187</v>
      </c>
      <c r="S294" s="6">
        <f>R294/R321</f>
        <v>0.33392857142857141</v>
      </c>
      <c r="T294" s="6">
        <f>187/$T$3</f>
        <v>0.33392857142857141</v>
      </c>
      <c r="V294">
        <v>202</v>
      </c>
      <c r="W294" s="6">
        <f>V294/V321</f>
        <v>0.37407407407407406</v>
      </c>
      <c r="X294" s="6">
        <f>202/$X$3</f>
        <v>0.37407407407407406</v>
      </c>
      <c r="Z294">
        <v>52</v>
      </c>
      <c r="AA294" s="6">
        <f>Z294/Z321</f>
        <v>0.46017699115044247</v>
      </c>
      <c r="AB294" s="9">
        <f>52/$AB$3</f>
        <v>0.46017699115044247</v>
      </c>
      <c r="AC294" s="7"/>
      <c r="AD294">
        <v>86</v>
      </c>
      <c r="AE294" s="6">
        <f>AD294/AD321</f>
        <v>0.43434343434343436</v>
      </c>
      <c r="AF294" s="9">
        <f>86/$AF$3</f>
        <v>0.43434343434343436</v>
      </c>
      <c r="AG294" s="7"/>
      <c r="AH294">
        <v>84</v>
      </c>
      <c r="AI294" s="6">
        <f>AH294/AH321</f>
        <v>0.34008097165991902</v>
      </c>
      <c r="AJ294" s="6">
        <f>84/$AJ$3</f>
        <v>0.34008097165991902</v>
      </c>
      <c r="AL294">
        <v>71</v>
      </c>
      <c r="AM294" s="6">
        <f>AL294/AL321</f>
        <v>0.30603448275862066</v>
      </c>
      <c r="AN294" s="6">
        <f>71/$AN$3</f>
        <v>0.30603448275862066</v>
      </c>
      <c r="AP294">
        <v>55</v>
      </c>
      <c r="AQ294" s="6">
        <f>AP294/AP321</f>
        <v>0.29569892473118281</v>
      </c>
      <c r="AR294" s="6">
        <f>55/$AR$3</f>
        <v>0.29569892473118281</v>
      </c>
      <c r="AT294">
        <v>41</v>
      </c>
      <c r="AU294" s="6">
        <f>AT294/AT321</f>
        <v>0.33064516129032256</v>
      </c>
      <c r="AV294" s="6">
        <f>41/$AV$3</f>
        <v>0.33064516129032256</v>
      </c>
      <c r="AX294">
        <v>169</v>
      </c>
      <c r="AY294" s="6">
        <f>AX294/AX321</f>
        <v>0.39302325581395348</v>
      </c>
      <c r="AZ294" s="6">
        <f>169/$AZ$3</f>
        <v>0.39302325581395348</v>
      </c>
      <c r="BB294">
        <v>143</v>
      </c>
      <c r="BC294" s="6">
        <f>BB294/BB321</f>
        <v>0.33411214953271029</v>
      </c>
      <c r="BD294" s="6">
        <f>143/$BD$3</f>
        <v>0.33411214953271029</v>
      </c>
      <c r="BF294">
        <v>77</v>
      </c>
      <c r="BG294" s="6">
        <f>BF294/BF321</f>
        <v>0.31818181818181818</v>
      </c>
      <c r="BH294" s="6">
        <f>77/$BH$3</f>
        <v>0.31818181818181818</v>
      </c>
      <c r="BJ294">
        <v>143</v>
      </c>
      <c r="BK294" s="6">
        <f>BJ294/BJ321</f>
        <v>0.35483870967741937</v>
      </c>
      <c r="BL294" s="6">
        <f>143/$BL$3</f>
        <v>0.35483870967741937</v>
      </c>
      <c r="BN294">
        <v>152</v>
      </c>
      <c r="BO294" s="6">
        <f>BN294/BN321</f>
        <v>0.35933806146572106</v>
      </c>
      <c r="BP294" s="6">
        <f>152/$BP$3</f>
        <v>0.35933806146572106</v>
      </c>
      <c r="BR294">
        <v>94</v>
      </c>
      <c r="BS294" s="6">
        <f>BR294/BR321</f>
        <v>0.34306569343065696</v>
      </c>
      <c r="BT294" s="6">
        <f>94/$BT$3</f>
        <v>0.34306569343065696</v>
      </c>
      <c r="BV294">
        <v>121</v>
      </c>
      <c r="BW294" s="6">
        <f>BV294/BV321</f>
        <v>0.39672131147540984</v>
      </c>
      <c r="BX294" s="6">
        <f>121/$BX$3</f>
        <v>0.39672131147540984</v>
      </c>
      <c r="BZ294">
        <v>76</v>
      </c>
      <c r="CA294" s="6">
        <f>BZ294/BZ321</f>
        <v>0.3392857142857143</v>
      </c>
      <c r="CB294" s="6">
        <f>76/$CB$3</f>
        <v>0.3392857142857143</v>
      </c>
      <c r="CD294">
        <v>77</v>
      </c>
      <c r="CE294" s="6">
        <f>CD294/CD321</f>
        <v>0.31950207468879666</v>
      </c>
      <c r="CF294" s="6">
        <f>77/$CF$3</f>
        <v>0.31950207468879666</v>
      </c>
      <c r="CH294">
        <v>115</v>
      </c>
      <c r="CI294" s="6">
        <f>CH294/CH321</f>
        <v>0.34848484848484851</v>
      </c>
      <c r="CJ294" s="6">
        <f>115/$CJ$3</f>
        <v>0.34848484848484851</v>
      </c>
    </row>
    <row r="295" spans="1:88" x14ac:dyDescent="0.35">
      <c r="A295" s="1" t="s">
        <v>603</v>
      </c>
      <c r="B295">
        <v>418</v>
      </c>
      <c r="C295" s="6">
        <f>B295/B321</f>
        <v>0.38</v>
      </c>
      <c r="D295" s="6">
        <f>418/$D$3</f>
        <v>0.38</v>
      </c>
      <c r="F295">
        <v>354</v>
      </c>
      <c r="G295" s="6">
        <f>F295/F321</f>
        <v>0.38858397365532382</v>
      </c>
      <c r="H295" s="6">
        <f>354/$H$3</f>
        <v>0.38858397365532382</v>
      </c>
      <c r="J295">
        <v>156</v>
      </c>
      <c r="K295" s="6">
        <f>J295/J321</f>
        <v>0.35944700460829493</v>
      </c>
      <c r="L295" s="6">
        <f>156/$L$3</f>
        <v>0.35944700460829493</v>
      </c>
      <c r="N295">
        <v>34</v>
      </c>
      <c r="O295" s="6">
        <f>N295/N321</f>
        <v>0.41975308641975306</v>
      </c>
      <c r="P295" s="6">
        <f>34/$P$3</f>
        <v>0.41975308641975306</v>
      </c>
      <c r="R295">
        <v>205</v>
      </c>
      <c r="S295" s="6">
        <f>R295/R321</f>
        <v>0.36607142857142855</v>
      </c>
      <c r="T295" s="6">
        <f>205/$T$3</f>
        <v>0.36607142857142855</v>
      </c>
      <c r="V295">
        <v>213</v>
      </c>
      <c r="W295" s="6">
        <f>V295/V321</f>
        <v>0.39444444444444443</v>
      </c>
      <c r="X295" s="6">
        <f>213/$X$3</f>
        <v>0.39444444444444443</v>
      </c>
      <c r="Z295">
        <v>56</v>
      </c>
      <c r="AA295" s="6">
        <f>Z295/Z321</f>
        <v>0.49557522123893805</v>
      </c>
      <c r="AB295" s="9">
        <f>56/$AB$3</f>
        <v>0.49557522123893805</v>
      </c>
      <c r="AC295" s="7"/>
      <c r="AD295">
        <v>74</v>
      </c>
      <c r="AE295" s="6">
        <f>AD295/AD321</f>
        <v>0.37373737373737376</v>
      </c>
      <c r="AF295" s="6">
        <f>74/$AF$3</f>
        <v>0.37373737373737376</v>
      </c>
      <c r="AH295">
        <v>92</v>
      </c>
      <c r="AI295" s="6">
        <f>AH295/AH321</f>
        <v>0.37246963562753038</v>
      </c>
      <c r="AJ295" s="6">
        <f>92/$AJ$3</f>
        <v>0.37246963562753038</v>
      </c>
      <c r="AL295">
        <v>93</v>
      </c>
      <c r="AM295" s="6">
        <f>AL295/AL321</f>
        <v>0.40086206896551724</v>
      </c>
      <c r="AN295" s="6">
        <f>93/$AN$3</f>
        <v>0.40086206896551724</v>
      </c>
      <c r="AP295">
        <v>54</v>
      </c>
      <c r="AQ295" s="6">
        <f>AP295/AP321</f>
        <v>0.29032258064516131</v>
      </c>
      <c r="AR295" s="8">
        <f>54/$AR$3</f>
        <v>0.29032258064516131</v>
      </c>
      <c r="AT295">
        <v>49</v>
      </c>
      <c r="AU295" s="6">
        <f>AT295/AT321</f>
        <v>0.39516129032258063</v>
      </c>
      <c r="AV295" s="6">
        <f>49/$AV$3</f>
        <v>0.39516129032258063</v>
      </c>
      <c r="AX295">
        <v>157</v>
      </c>
      <c r="AY295" s="6">
        <f>AX295/AX321</f>
        <v>0.36511627906976746</v>
      </c>
      <c r="AZ295" s="6">
        <f>157/$AZ$3</f>
        <v>0.36511627906976746</v>
      </c>
      <c r="BB295">
        <v>170</v>
      </c>
      <c r="BC295" s="6">
        <f>BB295/BB321</f>
        <v>0.39719626168224298</v>
      </c>
      <c r="BD295" s="6">
        <f>170/$BD$3</f>
        <v>0.39719626168224298</v>
      </c>
      <c r="BF295">
        <v>91</v>
      </c>
      <c r="BG295" s="6">
        <f>BF295/BF321</f>
        <v>0.37603305785123969</v>
      </c>
      <c r="BH295" s="6">
        <f>91/$BH$3</f>
        <v>0.37603305785123969</v>
      </c>
      <c r="BJ295">
        <v>162</v>
      </c>
      <c r="BK295" s="6">
        <f>BJ295/BJ321</f>
        <v>0.40198511166253104</v>
      </c>
      <c r="BL295" s="6">
        <f>162/$BL$3</f>
        <v>0.40198511166253104</v>
      </c>
      <c r="BN295">
        <v>160</v>
      </c>
      <c r="BO295" s="6">
        <f>BN295/BN321</f>
        <v>0.37825059101654845</v>
      </c>
      <c r="BP295" s="6">
        <f>160/$BP$3</f>
        <v>0.37825059101654845</v>
      </c>
      <c r="BR295">
        <v>96</v>
      </c>
      <c r="BS295" s="6">
        <f>BR295/BR321</f>
        <v>0.35036496350364965</v>
      </c>
      <c r="BT295" s="6">
        <f>96/$BT$3</f>
        <v>0.35036496350364965</v>
      </c>
      <c r="BV295">
        <v>127</v>
      </c>
      <c r="BW295" s="6">
        <f>BV295/BV321</f>
        <v>0.4163934426229508</v>
      </c>
      <c r="BX295" s="6">
        <f>127/$BX$3</f>
        <v>0.4163934426229508</v>
      </c>
      <c r="BZ295">
        <v>85</v>
      </c>
      <c r="CA295" s="6">
        <f>BZ295/BZ321</f>
        <v>0.3794642857142857</v>
      </c>
      <c r="CB295" s="6">
        <f>85/$CB$3</f>
        <v>0.3794642857142857</v>
      </c>
      <c r="CD295">
        <v>83</v>
      </c>
      <c r="CE295" s="6">
        <f>CD295/CD321</f>
        <v>0.34439834024896265</v>
      </c>
      <c r="CF295" s="6">
        <f>83/$CF$3</f>
        <v>0.34439834024896265</v>
      </c>
      <c r="CH295">
        <v>123</v>
      </c>
      <c r="CI295" s="6">
        <f>CH295/CH321</f>
        <v>0.37272727272727274</v>
      </c>
      <c r="CJ295" s="6">
        <f>123/$CJ$3</f>
        <v>0.37272727272727274</v>
      </c>
    </row>
    <row r="296" spans="1:88" x14ac:dyDescent="0.35">
      <c r="A296" s="1" t="s">
        <v>604</v>
      </c>
      <c r="B296">
        <v>494</v>
      </c>
      <c r="C296" s="6">
        <f>B296/B321</f>
        <v>0.4490909090909091</v>
      </c>
      <c r="D296" s="6">
        <f>494/$D$3</f>
        <v>0.4490909090909091</v>
      </c>
      <c r="F296">
        <v>424</v>
      </c>
      <c r="G296" s="6">
        <f>F296/F321</f>
        <v>0.46542261251372119</v>
      </c>
      <c r="H296" s="6">
        <f>424/$H$3</f>
        <v>0.46542261251372119</v>
      </c>
      <c r="J296">
        <v>201</v>
      </c>
      <c r="K296" s="6">
        <f>J296/J321</f>
        <v>0.46313364055299538</v>
      </c>
      <c r="L296" s="6">
        <f>201/$L$3</f>
        <v>0.46313364055299538</v>
      </c>
      <c r="N296">
        <v>38</v>
      </c>
      <c r="O296" s="6">
        <f>N296/N321</f>
        <v>0.46913580246913578</v>
      </c>
      <c r="P296" s="6">
        <f>38/$P$3</f>
        <v>0.46913580246913578</v>
      </c>
      <c r="R296">
        <v>251</v>
      </c>
      <c r="S296" s="6">
        <f>R296/R321</f>
        <v>0.44821428571428573</v>
      </c>
      <c r="T296" s="6">
        <f>251/$T$3</f>
        <v>0.44821428571428573</v>
      </c>
      <c r="V296">
        <v>243</v>
      </c>
      <c r="W296" s="6">
        <f>V296/V321</f>
        <v>0.45</v>
      </c>
      <c r="X296" s="6">
        <f>243/$X$3</f>
        <v>0.45</v>
      </c>
      <c r="Z296">
        <v>48</v>
      </c>
      <c r="AA296" s="6">
        <f>Z296/Z321</f>
        <v>0.4247787610619469</v>
      </c>
      <c r="AB296" s="6">
        <f>48/$AB$3</f>
        <v>0.4247787610619469</v>
      </c>
      <c r="AD296">
        <v>93</v>
      </c>
      <c r="AE296" s="6">
        <f>AD296/AD321</f>
        <v>0.46969696969696972</v>
      </c>
      <c r="AF296" s="6">
        <f>93/$AF$3</f>
        <v>0.46969696969696972</v>
      </c>
      <c r="AH296">
        <v>121</v>
      </c>
      <c r="AI296" s="6">
        <f>AH296/AH321</f>
        <v>0.48987854251012147</v>
      </c>
      <c r="AJ296" s="6">
        <f>121/$AJ$3</f>
        <v>0.48987854251012147</v>
      </c>
      <c r="AL296">
        <v>104</v>
      </c>
      <c r="AM296" s="6">
        <f>AL296/AL321</f>
        <v>0.44827586206896552</v>
      </c>
      <c r="AN296" s="6">
        <f>104/$AN$3</f>
        <v>0.44827586206896552</v>
      </c>
      <c r="AP296">
        <v>77</v>
      </c>
      <c r="AQ296" s="6">
        <f>AP296/AP321</f>
        <v>0.41397849462365593</v>
      </c>
      <c r="AR296" s="6">
        <f>77/$AR$3</f>
        <v>0.41397849462365593</v>
      </c>
      <c r="AT296">
        <v>51</v>
      </c>
      <c r="AU296" s="6">
        <f>AT296/AT321</f>
        <v>0.41129032258064518</v>
      </c>
      <c r="AV296" s="6">
        <f>51/$AV$3</f>
        <v>0.41129032258064518</v>
      </c>
      <c r="AX296">
        <v>187</v>
      </c>
      <c r="AY296" s="6">
        <f>AX296/AX321</f>
        <v>0.43488372093023253</v>
      </c>
      <c r="AZ296" s="6">
        <f>187/$AZ$3</f>
        <v>0.43488372093023253</v>
      </c>
      <c r="BB296">
        <v>195</v>
      </c>
      <c r="BC296" s="6">
        <f>BB296/BB321</f>
        <v>0.45560747663551404</v>
      </c>
      <c r="BD296" s="6">
        <f>195/$BD$3</f>
        <v>0.45560747663551404</v>
      </c>
      <c r="BF296">
        <v>112</v>
      </c>
      <c r="BG296" s="6">
        <f>BF296/BF321</f>
        <v>0.46280991735537191</v>
      </c>
      <c r="BH296" s="6">
        <f>112/$BH$3</f>
        <v>0.46280991735537191</v>
      </c>
      <c r="BJ296">
        <v>187</v>
      </c>
      <c r="BK296" s="6">
        <f>BJ296/BJ321</f>
        <v>0.4640198511166253</v>
      </c>
      <c r="BL296" s="6">
        <f>187/$BL$3</f>
        <v>0.4640198511166253</v>
      </c>
      <c r="BN296">
        <v>180</v>
      </c>
      <c r="BO296" s="6">
        <f>BN296/BN321</f>
        <v>0.42553191489361702</v>
      </c>
      <c r="BP296" s="6">
        <f>180/$BP$3</f>
        <v>0.42553191489361702</v>
      </c>
      <c r="BR296">
        <v>127</v>
      </c>
      <c r="BS296" s="6">
        <f>BR296/BR321</f>
        <v>0.46350364963503649</v>
      </c>
      <c r="BT296" s="6">
        <f>127/$BT$3</f>
        <v>0.46350364963503649</v>
      </c>
      <c r="BV296">
        <v>146</v>
      </c>
      <c r="BW296" s="6">
        <f>BV296/BV321</f>
        <v>0.47868852459016392</v>
      </c>
      <c r="BX296" s="6">
        <f>146/$BX$3</f>
        <v>0.47868852459016392</v>
      </c>
      <c r="BZ296">
        <v>103</v>
      </c>
      <c r="CA296" s="6">
        <f>BZ296/BZ321</f>
        <v>0.45982142857142855</v>
      </c>
      <c r="CB296" s="6">
        <f>103/$CB$3</f>
        <v>0.45982142857142855</v>
      </c>
      <c r="CD296">
        <v>96</v>
      </c>
      <c r="CE296" s="6">
        <f>CD296/CD321</f>
        <v>0.39834024896265557</v>
      </c>
      <c r="CF296" s="6">
        <f>96/$CF$3</f>
        <v>0.39834024896265557</v>
      </c>
      <c r="CH296">
        <v>149</v>
      </c>
      <c r="CI296" s="6">
        <f>CH296/CH321</f>
        <v>0.45151515151515154</v>
      </c>
      <c r="CJ296" s="6">
        <f>149/$CJ$3</f>
        <v>0.45151515151515154</v>
      </c>
    </row>
    <row r="297" spans="1:88" x14ac:dyDescent="0.35">
      <c r="A297" s="1" t="s">
        <v>605</v>
      </c>
      <c r="B297">
        <v>460</v>
      </c>
      <c r="C297" s="6">
        <f>B297/B321</f>
        <v>0.41818181818181815</v>
      </c>
      <c r="D297" s="6">
        <f>460/$D$3</f>
        <v>0.41818181818181815</v>
      </c>
      <c r="F297">
        <v>391</v>
      </c>
      <c r="G297" s="6">
        <f>F297/F321</f>
        <v>0.429198682766191</v>
      </c>
      <c r="H297" s="6">
        <f>391/$H$3</f>
        <v>0.429198682766191</v>
      </c>
      <c r="J297">
        <v>176</v>
      </c>
      <c r="K297" s="6">
        <f>J297/J321</f>
        <v>0.40552995391705071</v>
      </c>
      <c r="L297" s="6">
        <f>176/$L$3</f>
        <v>0.40552995391705071</v>
      </c>
      <c r="N297">
        <v>42</v>
      </c>
      <c r="O297" s="6">
        <f>N297/N321</f>
        <v>0.51851851851851849</v>
      </c>
      <c r="P297" s="6">
        <f>42/$P$3</f>
        <v>0.51851851851851849</v>
      </c>
      <c r="R297">
        <v>231</v>
      </c>
      <c r="S297" s="6">
        <f>R297/R321</f>
        <v>0.41249999999999998</v>
      </c>
      <c r="T297" s="6">
        <f>231/$T$3</f>
        <v>0.41249999999999998</v>
      </c>
      <c r="V297">
        <v>229</v>
      </c>
      <c r="W297" s="6">
        <f>V297/V321</f>
        <v>0.42407407407407405</v>
      </c>
      <c r="X297" s="6">
        <f>229/$X$3</f>
        <v>0.42407407407407405</v>
      </c>
      <c r="Z297">
        <v>54</v>
      </c>
      <c r="AA297" s="6">
        <f>Z297/Z321</f>
        <v>0.47787610619469029</v>
      </c>
      <c r="AB297" s="6">
        <f>54/$AB$3</f>
        <v>0.47787610619469029</v>
      </c>
      <c r="AD297">
        <v>81</v>
      </c>
      <c r="AE297" s="6">
        <f>AD297/AD321</f>
        <v>0.40909090909090912</v>
      </c>
      <c r="AF297" s="6">
        <f>81/$AF$3</f>
        <v>0.40909090909090912</v>
      </c>
      <c r="AH297">
        <v>106</v>
      </c>
      <c r="AI297" s="6">
        <f>AH297/AH321</f>
        <v>0.4291497975708502</v>
      </c>
      <c r="AJ297" s="6">
        <f>106/$AJ$3</f>
        <v>0.4291497975708502</v>
      </c>
      <c r="AL297">
        <v>101</v>
      </c>
      <c r="AM297" s="6">
        <f>AL297/AL321</f>
        <v>0.43534482758620691</v>
      </c>
      <c r="AN297" s="6">
        <f>101/$AN$3</f>
        <v>0.43534482758620691</v>
      </c>
      <c r="AP297">
        <v>73</v>
      </c>
      <c r="AQ297" s="6">
        <f>AP297/AP321</f>
        <v>0.39247311827956988</v>
      </c>
      <c r="AR297" s="6">
        <f>73/$AR$3</f>
        <v>0.39247311827956988</v>
      </c>
      <c r="AT297">
        <v>45</v>
      </c>
      <c r="AU297" s="6">
        <f>AT297/AT321</f>
        <v>0.36290322580645162</v>
      </c>
      <c r="AV297" s="6">
        <f>45/$AV$3</f>
        <v>0.36290322580645162</v>
      </c>
      <c r="AX297">
        <v>181</v>
      </c>
      <c r="AY297" s="6">
        <f>AX297/AX321</f>
        <v>0.42093023255813955</v>
      </c>
      <c r="AZ297" s="6">
        <f>181/$AZ$3</f>
        <v>0.42093023255813955</v>
      </c>
      <c r="BB297">
        <v>180</v>
      </c>
      <c r="BC297" s="6">
        <f>BB297/BB321</f>
        <v>0.42056074766355139</v>
      </c>
      <c r="BD297" s="6">
        <f>180/$BD$3</f>
        <v>0.42056074766355139</v>
      </c>
      <c r="BF297">
        <v>99</v>
      </c>
      <c r="BG297" s="6">
        <f>BF297/BF321</f>
        <v>0.40909090909090912</v>
      </c>
      <c r="BH297" s="6">
        <f>99/$BH$3</f>
        <v>0.40909090909090912</v>
      </c>
      <c r="BJ297">
        <v>172</v>
      </c>
      <c r="BK297" s="6">
        <f>BJ297/BJ321</f>
        <v>0.42679900744416871</v>
      </c>
      <c r="BL297" s="6">
        <f>172/$BL$3</f>
        <v>0.42679900744416871</v>
      </c>
      <c r="BN297">
        <v>169</v>
      </c>
      <c r="BO297" s="6">
        <f>BN297/BN321</f>
        <v>0.39952718676122934</v>
      </c>
      <c r="BP297" s="6">
        <f>169/$BP$3</f>
        <v>0.39952718676122934</v>
      </c>
      <c r="BR297">
        <v>119</v>
      </c>
      <c r="BS297" s="6">
        <f>BR297/BR321</f>
        <v>0.43430656934306572</v>
      </c>
      <c r="BT297" s="6">
        <f>119/$BT$3</f>
        <v>0.43430656934306572</v>
      </c>
      <c r="BV297">
        <v>133</v>
      </c>
      <c r="BW297" s="6">
        <f>BV297/BV321</f>
        <v>0.43606557377049182</v>
      </c>
      <c r="BX297" s="6">
        <f>133/$BX$3</f>
        <v>0.43606557377049182</v>
      </c>
      <c r="BZ297">
        <v>100</v>
      </c>
      <c r="CA297" s="6">
        <f>BZ297/BZ321</f>
        <v>0.44642857142857145</v>
      </c>
      <c r="CB297" s="6">
        <f>100/$CB$3</f>
        <v>0.44642857142857145</v>
      </c>
      <c r="CD297">
        <v>87</v>
      </c>
      <c r="CE297" s="6">
        <f>CD297/CD321</f>
        <v>0.36099585062240663</v>
      </c>
      <c r="CF297" s="8">
        <f>87/$CF$3</f>
        <v>0.36099585062240663</v>
      </c>
      <c r="CH297">
        <v>140</v>
      </c>
      <c r="CI297" s="6">
        <f>CH297/CH321</f>
        <v>0.42424242424242425</v>
      </c>
      <c r="CJ297" s="6">
        <f>140/$CJ$3</f>
        <v>0.42424242424242425</v>
      </c>
    </row>
    <row r="298" spans="1:88" x14ac:dyDescent="0.35">
      <c r="A298" s="1" t="s">
        <v>606</v>
      </c>
      <c r="B298">
        <v>465</v>
      </c>
      <c r="C298" s="6">
        <f>B298/B321</f>
        <v>0.42272727272727273</v>
      </c>
      <c r="D298" s="6">
        <f>465/$D$3</f>
        <v>0.42272727272727273</v>
      </c>
      <c r="F298">
        <v>400</v>
      </c>
      <c r="G298" s="6">
        <f>F298/F321</f>
        <v>0.43907793633369924</v>
      </c>
      <c r="H298" s="6">
        <f>400/$H$3</f>
        <v>0.43907793633369924</v>
      </c>
      <c r="J298">
        <v>196</v>
      </c>
      <c r="K298" s="6">
        <f>J298/J321</f>
        <v>0.45161290322580644</v>
      </c>
      <c r="L298" s="6">
        <f>196/$L$3</f>
        <v>0.45161290322580644</v>
      </c>
      <c r="N298">
        <v>38</v>
      </c>
      <c r="O298" s="6">
        <f>N298/N321</f>
        <v>0.46913580246913578</v>
      </c>
      <c r="P298" s="6">
        <f>38/$P$3</f>
        <v>0.46913580246913578</v>
      </c>
      <c r="R298">
        <v>226</v>
      </c>
      <c r="S298" s="6">
        <f>R298/R321</f>
        <v>0.40357142857142858</v>
      </c>
      <c r="T298" s="6">
        <f>226/$T$3</f>
        <v>0.40357142857142858</v>
      </c>
      <c r="V298">
        <v>239</v>
      </c>
      <c r="W298" s="6">
        <f>V298/V321</f>
        <v>0.44259259259259259</v>
      </c>
      <c r="X298" s="6">
        <f>239/$X$3</f>
        <v>0.44259259259259259</v>
      </c>
      <c r="Z298">
        <v>55</v>
      </c>
      <c r="AA298" s="6">
        <f>Z298/Z321</f>
        <v>0.48672566371681414</v>
      </c>
      <c r="AB298" s="6">
        <f>55/$AB$3</f>
        <v>0.48672566371681414</v>
      </c>
      <c r="AD298">
        <v>93</v>
      </c>
      <c r="AE298" s="6">
        <f>AD298/AD321</f>
        <v>0.46969696969696972</v>
      </c>
      <c r="AF298" s="6">
        <f>93/$AF$3</f>
        <v>0.46969696969696972</v>
      </c>
      <c r="AH298">
        <v>112</v>
      </c>
      <c r="AI298" s="6">
        <f>AH298/AH321</f>
        <v>0.45344129554655871</v>
      </c>
      <c r="AJ298" s="6">
        <f>112/$AJ$3</f>
        <v>0.45344129554655871</v>
      </c>
      <c r="AL298">
        <v>97</v>
      </c>
      <c r="AM298" s="6">
        <f>AL298/AL321</f>
        <v>0.41810344827586204</v>
      </c>
      <c r="AN298" s="6">
        <f>97/$AN$3</f>
        <v>0.41810344827586204</v>
      </c>
      <c r="AP298">
        <v>67</v>
      </c>
      <c r="AQ298" s="6">
        <f>AP298/AP321</f>
        <v>0.36021505376344087</v>
      </c>
      <c r="AR298" s="6">
        <f>67/$AR$3</f>
        <v>0.36021505376344087</v>
      </c>
      <c r="AT298">
        <v>41</v>
      </c>
      <c r="AU298" s="6">
        <f>AT298/AT321</f>
        <v>0.33064516129032256</v>
      </c>
      <c r="AV298" s="8">
        <f>41/$AV$3</f>
        <v>0.33064516129032256</v>
      </c>
      <c r="AX298">
        <v>183</v>
      </c>
      <c r="AY298" s="6">
        <f>AX298/AX321</f>
        <v>0.42558139534883721</v>
      </c>
      <c r="AZ298" s="6">
        <f>183/$AZ$3</f>
        <v>0.42558139534883721</v>
      </c>
      <c r="BB298">
        <v>183</v>
      </c>
      <c r="BC298" s="6">
        <f>BB298/BB321</f>
        <v>0.42757009345794394</v>
      </c>
      <c r="BD298" s="6">
        <f>183/$BD$3</f>
        <v>0.42757009345794394</v>
      </c>
      <c r="BF298">
        <v>99</v>
      </c>
      <c r="BG298" s="6">
        <f>BF298/BF321</f>
        <v>0.40909090909090912</v>
      </c>
      <c r="BH298" s="6">
        <f>99/$BH$3</f>
        <v>0.40909090909090912</v>
      </c>
      <c r="BJ298">
        <v>170</v>
      </c>
      <c r="BK298" s="6">
        <f>BJ298/BJ321</f>
        <v>0.42183622828784118</v>
      </c>
      <c r="BL298" s="6">
        <f>170/$BL$3</f>
        <v>0.42183622828784118</v>
      </c>
      <c r="BN298">
        <v>165</v>
      </c>
      <c r="BO298" s="6">
        <f>BN298/BN321</f>
        <v>0.39007092198581561</v>
      </c>
      <c r="BP298" s="6">
        <f>165/$BP$3</f>
        <v>0.39007092198581561</v>
      </c>
      <c r="BR298">
        <v>130</v>
      </c>
      <c r="BS298" s="6">
        <f>BR298/BR321</f>
        <v>0.47445255474452552</v>
      </c>
      <c r="BT298" s="9">
        <f>130/$BT$3</f>
        <v>0.47445255474452552</v>
      </c>
      <c r="BV298">
        <v>133</v>
      </c>
      <c r="BW298" s="6">
        <f>BV298/BV321</f>
        <v>0.43606557377049182</v>
      </c>
      <c r="BX298" s="6">
        <f>133/$BX$3</f>
        <v>0.43606557377049182</v>
      </c>
      <c r="BZ298">
        <v>93</v>
      </c>
      <c r="CA298" s="6">
        <f>BZ298/BZ321</f>
        <v>0.41517857142857145</v>
      </c>
      <c r="CB298" s="6">
        <f>93/$CB$3</f>
        <v>0.41517857142857145</v>
      </c>
      <c r="CD298">
        <v>105</v>
      </c>
      <c r="CE298" s="6">
        <f>CD298/CD321</f>
        <v>0.43568464730290457</v>
      </c>
      <c r="CF298" s="6">
        <f>105/$CF$3</f>
        <v>0.43568464730290457</v>
      </c>
      <c r="CH298">
        <v>134</v>
      </c>
      <c r="CI298" s="6">
        <f>CH298/CH321</f>
        <v>0.40606060606060607</v>
      </c>
      <c r="CJ298" s="6">
        <f>134/$CJ$3</f>
        <v>0.40606060606060607</v>
      </c>
    </row>
    <row r="299" spans="1:88" x14ac:dyDescent="0.35">
      <c r="A299" s="1" t="s">
        <v>607</v>
      </c>
      <c r="B299">
        <v>309</v>
      </c>
      <c r="C299" s="6">
        <f>B299/B321</f>
        <v>0.28090909090909089</v>
      </c>
      <c r="D299" s="6">
        <f>309/$D$3</f>
        <v>0.28090909090909089</v>
      </c>
      <c r="F299">
        <v>267</v>
      </c>
      <c r="G299" s="6">
        <f>F299/F321</f>
        <v>0.29308452250274425</v>
      </c>
      <c r="H299" s="6">
        <f>267/$H$3</f>
        <v>0.29308452250274425</v>
      </c>
      <c r="J299">
        <v>140</v>
      </c>
      <c r="K299" s="6">
        <f>J299/J321</f>
        <v>0.32258064516129031</v>
      </c>
      <c r="L299" s="6">
        <f>140/$L$3</f>
        <v>0.32258064516129031</v>
      </c>
      <c r="N299">
        <v>23</v>
      </c>
      <c r="O299" s="6">
        <f>N299/N321</f>
        <v>0.2839506172839506</v>
      </c>
      <c r="P299" s="6">
        <f>23/$P$3</f>
        <v>0.2839506172839506</v>
      </c>
      <c r="R299">
        <v>160</v>
      </c>
      <c r="S299" s="6">
        <f>R299/R321</f>
        <v>0.2857142857142857</v>
      </c>
      <c r="T299" s="6">
        <f>160/$T$3</f>
        <v>0.2857142857142857</v>
      </c>
      <c r="V299">
        <v>149</v>
      </c>
      <c r="W299" s="6">
        <f>V299/V321</f>
        <v>0.27592592592592591</v>
      </c>
      <c r="X299" s="6">
        <f>149/$X$3</f>
        <v>0.27592592592592591</v>
      </c>
      <c r="Z299">
        <v>32</v>
      </c>
      <c r="AA299" s="6">
        <f>Z299/Z321</f>
        <v>0.2831858407079646</v>
      </c>
      <c r="AB299" s="6">
        <f>32/$AB$3</f>
        <v>0.2831858407079646</v>
      </c>
      <c r="AD299">
        <v>77</v>
      </c>
      <c r="AE299" s="6">
        <f>AD299/AD321</f>
        <v>0.3888888888888889</v>
      </c>
      <c r="AF299" s="9">
        <f>77/$AF$3</f>
        <v>0.3888888888888889</v>
      </c>
      <c r="AG299" s="7"/>
      <c r="AH299">
        <v>83</v>
      </c>
      <c r="AI299" s="6">
        <f>AH299/AH321</f>
        <v>0.33603238866396762</v>
      </c>
      <c r="AJ299" s="9">
        <f>83/$AJ$3</f>
        <v>0.33603238866396762</v>
      </c>
      <c r="AK299" s="7"/>
      <c r="AL299">
        <v>56</v>
      </c>
      <c r="AM299" s="6">
        <f>AL299/AL321</f>
        <v>0.2413793103448276</v>
      </c>
      <c r="AN299" s="6">
        <f>56/$AN$3</f>
        <v>0.2413793103448276</v>
      </c>
      <c r="AP299">
        <v>39</v>
      </c>
      <c r="AQ299" s="6">
        <f>AP299/AP321</f>
        <v>0.20967741935483872</v>
      </c>
      <c r="AR299" s="8">
        <f>39/$AR$3</f>
        <v>0.20967741935483872</v>
      </c>
      <c r="AT299">
        <v>22</v>
      </c>
      <c r="AU299" s="6">
        <f>AT299/AT321</f>
        <v>0.17741935483870969</v>
      </c>
      <c r="AV299" s="8">
        <f>22/$AV$3</f>
        <v>0.17741935483870969</v>
      </c>
      <c r="AX299">
        <v>116</v>
      </c>
      <c r="AY299" s="6">
        <f>AX299/AX321</f>
        <v>0.26976744186046514</v>
      </c>
      <c r="AZ299" s="6">
        <f>116/$AZ$3</f>
        <v>0.26976744186046514</v>
      </c>
      <c r="BB299">
        <v>130</v>
      </c>
      <c r="BC299" s="6">
        <f>BB299/BB321</f>
        <v>0.30373831775700932</v>
      </c>
      <c r="BD299" s="6">
        <f>130/$BD$3</f>
        <v>0.30373831775700932</v>
      </c>
      <c r="BF299">
        <v>63</v>
      </c>
      <c r="BG299" s="6">
        <f>BF299/BF321</f>
        <v>0.26033057851239672</v>
      </c>
      <c r="BH299" s="6">
        <f>63/$BH$3</f>
        <v>0.26033057851239672</v>
      </c>
      <c r="BJ299">
        <v>134</v>
      </c>
      <c r="BK299" s="6">
        <f>BJ299/BJ321</f>
        <v>0.33250620347394538</v>
      </c>
      <c r="BL299" s="9">
        <f>134/$BL$3</f>
        <v>0.33250620347394538</v>
      </c>
      <c r="BM299" s="7" t="s">
        <v>5</v>
      </c>
      <c r="BN299">
        <v>114</v>
      </c>
      <c r="BO299" s="6">
        <f>BN299/BN321</f>
        <v>0.26950354609929078</v>
      </c>
      <c r="BP299" s="6">
        <f>114/$BP$3</f>
        <v>0.26950354609929078</v>
      </c>
      <c r="BR299">
        <v>61</v>
      </c>
      <c r="BS299" s="6">
        <f>BR299/BR321</f>
        <v>0.22262773722627738</v>
      </c>
      <c r="BT299" s="8">
        <f>61/$BT$3</f>
        <v>0.22262773722627738</v>
      </c>
      <c r="BV299">
        <v>85</v>
      </c>
      <c r="BW299" s="6">
        <f>BV299/BV321</f>
        <v>0.27868852459016391</v>
      </c>
      <c r="BX299" s="6">
        <f>85/$BX$3</f>
        <v>0.27868852459016391</v>
      </c>
      <c r="BZ299">
        <v>57</v>
      </c>
      <c r="CA299" s="6">
        <f>BZ299/BZ321</f>
        <v>0.2544642857142857</v>
      </c>
      <c r="CB299" s="6">
        <f>57/$CB$3</f>
        <v>0.2544642857142857</v>
      </c>
      <c r="CD299">
        <v>81</v>
      </c>
      <c r="CE299" s="6">
        <f>CD299/CD321</f>
        <v>0.33609958506224069</v>
      </c>
      <c r="CF299" s="9">
        <f>81/$CF$3</f>
        <v>0.33609958506224069</v>
      </c>
      <c r="CH299">
        <v>86</v>
      </c>
      <c r="CI299" s="6">
        <f>CH299/CH321</f>
        <v>0.26060606060606062</v>
      </c>
      <c r="CJ299" s="6">
        <f>86/$CJ$3</f>
        <v>0.26060606060606062</v>
      </c>
    </row>
    <row r="300" spans="1:88" x14ac:dyDescent="0.35">
      <c r="A300" s="1" t="s">
        <v>608</v>
      </c>
      <c r="B300">
        <v>322</v>
      </c>
      <c r="C300" s="6">
        <f>B300/B321</f>
        <v>0.29272727272727272</v>
      </c>
      <c r="D300" s="6">
        <f>322/$D$3</f>
        <v>0.29272727272727272</v>
      </c>
      <c r="F300">
        <v>286</v>
      </c>
      <c r="G300" s="6">
        <f>F300/F321</f>
        <v>0.31394072447859495</v>
      </c>
      <c r="H300" s="6">
        <f>286/$H$3</f>
        <v>0.31394072447859495</v>
      </c>
      <c r="J300">
        <v>136</v>
      </c>
      <c r="K300" s="6">
        <f>J300/J321</f>
        <v>0.31336405529953915</v>
      </c>
      <c r="L300" s="6">
        <f>136/$L$3</f>
        <v>0.31336405529953915</v>
      </c>
      <c r="N300">
        <v>27</v>
      </c>
      <c r="O300" s="6">
        <f>N300/N321</f>
        <v>0.33333333333333331</v>
      </c>
      <c r="P300" s="6">
        <f>27/$P$3</f>
        <v>0.33333333333333331</v>
      </c>
      <c r="R300">
        <v>176</v>
      </c>
      <c r="S300" s="6">
        <f>R300/R321</f>
        <v>0.31428571428571428</v>
      </c>
      <c r="T300" s="6">
        <f>176/$T$3</f>
        <v>0.31428571428571428</v>
      </c>
      <c r="V300">
        <v>146</v>
      </c>
      <c r="W300" s="6">
        <f>V300/V321</f>
        <v>0.27037037037037037</v>
      </c>
      <c r="X300" s="6">
        <f>146/$X$3</f>
        <v>0.27037037037037037</v>
      </c>
      <c r="Z300">
        <v>37</v>
      </c>
      <c r="AA300" s="6">
        <f>Z300/Z321</f>
        <v>0.32743362831858408</v>
      </c>
      <c r="AB300" s="6">
        <f>37/$AB$3</f>
        <v>0.32743362831858408</v>
      </c>
      <c r="AD300">
        <v>57</v>
      </c>
      <c r="AE300" s="6">
        <f>AD300/AD321</f>
        <v>0.2878787878787879</v>
      </c>
      <c r="AF300" s="6">
        <f>57/$AF$3</f>
        <v>0.2878787878787879</v>
      </c>
      <c r="AH300">
        <v>76</v>
      </c>
      <c r="AI300" s="6">
        <f>AH300/AH321</f>
        <v>0.30769230769230771</v>
      </c>
      <c r="AJ300" s="6">
        <f>76/$AJ$3</f>
        <v>0.30769230769230771</v>
      </c>
      <c r="AL300">
        <v>69</v>
      </c>
      <c r="AM300" s="6">
        <f>AL300/AL321</f>
        <v>0.29741379310344829</v>
      </c>
      <c r="AN300" s="6">
        <f>69/$AN$3</f>
        <v>0.29741379310344829</v>
      </c>
      <c r="AP300">
        <v>47</v>
      </c>
      <c r="AQ300" s="6">
        <f>AP300/AP321</f>
        <v>0.25268817204301075</v>
      </c>
      <c r="AR300" s="6">
        <f>47/$AR$3</f>
        <v>0.25268817204301075</v>
      </c>
      <c r="AT300">
        <v>36</v>
      </c>
      <c r="AU300" s="6">
        <f>AT300/AT321</f>
        <v>0.29032258064516131</v>
      </c>
      <c r="AV300" s="6">
        <f>36/$AV$3</f>
        <v>0.29032258064516131</v>
      </c>
      <c r="AX300">
        <v>120</v>
      </c>
      <c r="AY300" s="6">
        <f>AX300/AX321</f>
        <v>0.27906976744186046</v>
      </c>
      <c r="AZ300" s="6">
        <f>120/$AZ$3</f>
        <v>0.27906976744186046</v>
      </c>
      <c r="BB300">
        <v>130</v>
      </c>
      <c r="BC300" s="6">
        <f>BB300/BB321</f>
        <v>0.30373831775700932</v>
      </c>
      <c r="BD300" s="6">
        <f>130/$BD$3</f>
        <v>0.30373831775700932</v>
      </c>
      <c r="BF300">
        <v>72</v>
      </c>
      <c r="BG300" s="6">
        <f>BF300/BF321</f>
        <v>0.2975206611570248</v>
      </c>
      <c r="BH300" s="6">
        <f>72/$BH$3</f>
        <v>0.2975206611570248</v>
      </c>
      <c r="BJ300">
        <v>119</v>
      </c>
      <c r="BK300" s="6">
        <f>BJ300/BJ321</f>
        <v>0.29528535980148884</v>
      </c>
      <c r="BL300" s="6">
        <f>119/$BL$3</f>
        <v>0.29528535980148884</v>
      </c>
      <c r="BN300">
        <v>123</v>
      </c>
      <c r="BO300" s="6">
        <f>BN300/BN321</f>
        <v>0.29078014184397161</v>
      </c>
      <c r="BP300" s="6">
        <f>123/$BP$3</f>
        <v>0.29078014184397161</v>
      </c>
      <c r="BR300">
        <v>80</v>
      </c>
      <c r="BS300" s="6">
        <f>BR300/BR321</f>
        <v>0.29197080291970801</v>
      </c>
      <c r="BT300" s="6">
        <f>80/$BT$3</f>
        <v>0.29197080291970801</v>
      </c>
      <c r="BV300">
        <v>91</v>
      </c>
      <c r="BW300" s="6">
        <f>BV300/BV321</f>
        <v>0.29836065573770493</v>
      </c>
      <c r="BX300" s="6">
        <f>91/$BX$3</f>
        <v>0.29836065573770493</v>
      </c>
      <c r="BZ300">
        <v>67</v>
      </c>
      <c r="CA300" s="6">
        <f>BZ300/BZ321</f>
        <v>0.29910714285714285</v>
      </c>
      <c r="CB300" s="6">
        <f>67/$CB$3</f>
        <v>0.29910714285714285</v>
      </c>
      <c r="CD300">
        <v>69</v>
      </c>
      <c r="CE300" s="6">
        <f>CD300/CD321</f>
        <v>0.2863070539419087</v>
      </c>
      <c r="CF300" s="6">
        <f>69/$CF$3</f>
        <v>0.2863070539419087</v>
      </c>
      <c r="CH300">
        <v>95</v>
      </c>
      <c r="CI300" s="6">
        <f>CH300/CH321</f>
        <v>0.2878787878787879</v>
      </c>
      <c r="CJ300" s="6">
        <f>95/$CJ$3</f>
        <v>0.2878787878787879</v>
      </c>
    </row>
    <row r="302" spans="1:88" x14ac:dyDescent="0.35">
      <c r="A302" s="1" t="s">
        <v>609</v>
      </c>
      <c r="B302">
        <v>339</v>
      </c>
      <c r="C302" s="6">
        <f>B302/B321</f>
        <v>0.30818181818181817</v>
      </c>
      <c r="D302" s="6">
        <f>339/$D$3</f>
        <v>0.30818181818181817</v>
      </c>
      <c r="F302">
        <v>286</v>
      </c>
      <c r="G302" s="6">
        <f>F302/F321</f>
        <v>0.31394072447859495</v>
      </c>
      <c r="H302" s="6">
        <f>286/$H$3</f>
        <v>0.31394072447859495</v>
      </c>
      <c r="J302">
        <v>123</v>
      </c>
      <c r="K302" s="6">
        <f>J302/J321</f>
        <v>0.28341013824884792</v>
      </c>
      <c r="L302" s="6">
        <f>123/$L$3</f>
        <v>0.28341013824884792</v>
      </c>
      <c r="N302">
        <v>27</v>
      </c>
      <c r="O302" s="6">
        <f>N302/N321</f>
        <v>0.33333333333333331</v>
      </c>
      <c r="P302" s="6">
        <f>27/$P$3</f>
        <v>0.33333333333333331</v>
      </c>
      <c r="R302">
        <v>182</v>
      </c>
      <c r="S302" s="6">
        <f>R302/R321</f>
        <v>0.32500000000000001</v>
      </c>
      <c r="T302" s="6">
        <f>182/$T$3</f>
        <v>0.32500000000000001</v>
      </c>
      <c r="V302">
        <v>157</v>
      </c>
      <c r="W302" s="6">
        <f>V302/V321</f>
        <v>0.29074074074074074</v>
      </c>
      <c r="X302" s="6">
        <f>157/$X$3</f>
        <v>0.29074074074074074</v>
      </c>
      <c r="Z302">
        <v>31</v>
      </c>
      <c r="AA302" s="6">
        <f>Z302/Z321</f>
        <v>0.27433628318584069</v>
      </c>
      <c r="AB302" s="6">
        <f>31/$AB$3</f>
        <v>0.27433628318584069</v>
      </c>
      <c r="AD302">
        <v>54</v>
      </c>
      <c r="AE302" s="6">
        <f>AD302/AD321</f>
        <v>0.27272727272727271</v>
      </c>
      <c r="AF302" s="6">
        <f>54/$AF$3</f>
        <v>0.27272727272727271</v>
      </c>
      <c r="AH302">
        <v>72</v>
      </c>
      <c r="AI302" s="6">
        <f>AH302/AH321</f>
        <v>0.291497975708502</v>
      </c>
      <c r="AJ302" s="6">
        <f>72/$AJ$3</f>
        <v>0.291497975708502</v>
      </c>
      <c r="AL302">
        <v>65</v>
      </c>
      <c r="AM302" s="6">
        <f>AL302/AL321</f>
        <v>0.28017241379310343</v>
      </c>
      <c r="AN302" s="6">
        <f>65/$AN$3</f>
        <v>0.28017241379310343</v>
      </c>
      <c r="AP302">
        <v>66</v>
      </c>
      <c r="AQ302" s="6">
        <f>AP302/AP321</f>
        <v>0.35483870967741937</v>
      </c>
      <c r="AR302" s="6">
        <f>66/$AR$3</f>
        <v>0.35483870967741937</v>
      </c>
      <c r="AT302">
        <v>51</v>
      </c>
      <c r="AU302" s="6">
        <f>AT302/AT321</f>
        <v>0.41129032258064518</v>
      </c>
      <c r="AV302" s="9">
        <f>51/$AV$3</f>
        <v>0.41129032258064518</v>
      </c>
      <c r="AX302">
        <v>115</v>
      </c>
      <c r="AY302" s="6">
        <f>AX302/AX321</f>
        <v>0.26744186046511625</v>
      </c>
      <c r="AZ302" s="6">
        <f>115/$AZ$3</f>
        <v>0.26744186046511625</v>
      </c>
      <c r="BB302">
        <v>149</v>
      </c>
      <c r="BC302" s="6">
        <f>BB302/BB321</f>
        <v>0.34813084112149534</v>
      </c>
      <c r="BD302" s="6">
        <f>149/$BD$3</f>
        <v>0.34813084112149534</v>
      </c>
      <c r="BF302">
        <v>75</v>
      </c>
      <c r="BG302" s="6">
        <f>BF302/BF321</f>
        <v>0.30991735537190085</v>
      </c>
      <c r="BH302" s="6">
        <f>75/$BH$3</f>
        <v>0.30991735537190085</v>
      </c>
      <c r="BJ302">
        <v>117</v>
      </c>
      <c r="BK302" s="6">
        <f>BJ302/BJ321</f>
        <v>0.29032258064516131</v>
      </c>
      <c r="BL302" s="6">
        <f>117/$BL$3</f>
        <v>0.29032258064516131</v>
      </c>
      <c r="BN302">
        <v>137</v>
      </c>
      <c r="BO302" s="6">
        <f>BN302/BN321</f>
        <v>0.32387706855791965</v>
      </c>
      <c r="BP302" s="6">
        <f>137/$BP$3</f>
        <v>0.32387706855791965</v>
      </c>
      <c r="BR302">
        <v>85</v>
      </c>
      <c r="BS302" s="6">
        <f>BR302/BR321</f>
        <v>0.31021897810218979</v>
      </c>
      <c r="BT302" s="6">
        <f>85/$BT$3</f>
        <v>0.31021897810218979</v>
      </c>
      <c r="BV302">
        <v>101</v>
      </c>
      <c r="BW302" s="6">
        <f>BV302/BV321</f>
        <v>0.33114754098360655</v>
      </c>
      <c r="BX302" s="6">
        <f>101/$BX$3</f>
        <v>0.33114754098360655</v>
      </c>
      <c r="BZ302">
        <v>59</v>
      </c>
      <c r="CA302" s="6">
        <f>BZ302/BZ321</f>
        <v>0.26339285714285715</v>
      </c>
      <c r="CB302" s="6">
        <f>59/$CB$3</f>
        <v>0.26339285714285715</v>
      </c>
      <c r="CD302">
        <v>71</v>
      </c>
      <c r="CE302" s="6">
        <f>CD302/CD321</f>
        <v>0.29460580912863071</v>
      </c>
      <c r="CF302" s="6">
        <f>71/$CF$3</f>
        <v>0.29460580912863071</v>
      </c>
      <c r="CH302">
        <v>108</v>
      </c>
      <c r="CI302" s="6">
        <f>CH302/CH321</f>
        <v>0.32727272727272727</v>
      </c>
      <c r="CJ302" s="6">
        <f>108/$CJ$3</f>
        <v>0.32727272727272727</v>
      </c>
    </row>
    <row r="303" spans="1:88" x14ac:dyDescent="0.35">
      <c r="A303" s="1" t="s">
        <v>610</v>
      </c>
      <c r="B303">
        <v>52</v>
      </c>
      <c r="C303" s="6">
        <f>B303/B321</f>
        <v>4.7272727272727272E-2</v>
      </c>
      <c r="D303" s="6">
        <f>52/$D$3</f>
        <v>4.7272727272727272E-2</v>
      </c>
      <c r="F303">
        <v>39</v>
      </c>
      <c r="G303" s="6">
        <f>F303/F321</f>
        <v>4.2810098792535674E-2</v>
      </c>
      <c r="H303" s="6">
        <f>39/$H$3</f>
        <v>4.2810098792535674E-2</v>
      </c>
      <c r="J303">
        <v>12</v>
      </c>
      <c r="K303" s="6">
        <f>J303/J321</f>
        <v>2.7649769585253458E-2</v>
      </c>
      <c r="L303" s="6">
        <f>12/$L$3</f>
        <v>2.7649769585253458E-2</v>
      </c>
      <c r="N303">
        <v>7</v>
      </c>
      <c r="O303" s="6">
        <f>N303/N321</f>
        <v>8.6419753086419748E-2</v>
      </c>
      <c r="P303" s="6">
        <f>7/$P$3</f>
        <v>8.6419753086419748E-2</v>
      </c>
      <c r="R303">
        <v>25</v>
      </c>
      <c r="S303" s="6">
        <f>R303/R321</f>
        <v>4.4642857142857144E-2</v>
      </c>
      <c r="T303" s="6">
        <f>25/$T$3</f>
        <v>4.4642857142857144E-2</v>
      </c>
      <c r="V303">
        <v>27</v>
      </c>
      <c r="W303" s="6">
        <f>V303/V321</f>
        <v>0.05</v>
      </c>
      <c r="X303" s="6">
        <f>27/$X$3</f>
        <v>0.05</v>
      </c>
      <c r="Z303">
        <v>7</v>
      </c>
      <c r="AA303" s="6">
        <f>Z303/Z321</f>
        <v>6.1946902654867256E-2</v>
      </c>
      <c r="AB303" s="6">
        <f>7/$AB$3</f>
        <v>6.1946902654867256E-2</v>
      </c>
      <c r="AD303">
        <v>5</v>
      </c>
      <c r="AE303" s="6">
        <f>AD303/AD321</f>
        <v>2.5252525252525252E-2</v>
      </c>
      <c r="AF303" s="6">
        <f>5/$AF$3</f>
        <v>2.5252525252525252E-2</v>
      </c>
      <c r="AH303">
        <v>13</v>
      </c>
      <c r="AI303" s="6">
        <f>AH303/AH321</f>
        <v>5.2631578947368418E-2</v>
      </c>
      <c r="AJ303" s="6">
        <f>13/$AJ$3</f>
        <v>5.2631578947368418E-2</v>
      </c>
      <c r="AL303">
        <v>10</v>
      </c>
      <c r="AM303" s="6">
        <f>AL303/AL321</f>
        <v>4.3103448275862072E-2</v>
      </c>
      <c r="AN303" s="6">
        <f>10/$AN$3</f>
        <v>4.3103448275862072E-2</v>
      </c>
      <c r="AP303">
        <v>9</v>
      </c>
      <c r="AQ303" s="6">
        <f>AP303/AP321</f>
        <v>4.8387096774193547E-2</v>
      </c>
      <c r="AR303" s="6">
        <f>9/$AR$3</f>
        <v>4.8387096774193547E-2</v>
      </c>
      <c r="AT303">
        <v>8</v>
      </c>
      <c r="AU303" s="6">
        <f>AT303/AT321</f>
        <v>6.4516129032258063E-2</v>
      </c>
      <c r="AV303" s="6">
        <f>8/$AV$3</f>
        <v>6.4516129032258063E-2</v>
      </c>
      <c r="AX303">
        <v>16</v>
      </c>
      <c r="AY303" s="6">
        <f>AX303/AX321</f>
        <v>3.7209302325581395E-2</v>
      </c>
      <c r="AZ303" s="6">
        <f>16/$AZ$3</f>
        <v>3.7209302325581395E-2</v>
      </c>
      <c r="BB303">
        <v>24</v>
      </c>
      <c r="BC303" s="6">
        <f>BB303/BB321</f>
        <v>5.6074766355140186E-2</v>
      </c>
      <c r="BD303" s="6">
        <f>24/$BD$3</f>
        <v>5.6074766355140186E-2</v>
      </c>
      <c r="BF303">
        <v>12</v>
      </c>
      <c r="BG303" s="6">
        <f>BF303/BF321</f>
        <v>4.9586776859504134E-2</v>
      </c>
      <c r="BH303" s="6">
        <f>12/$BH$3</f>
        <v>4.9586776859504134E-2</v>
      </c>
      <c r="BJ303">
        <v>26</v>
      </c>
      <c r="BK303" s="6">
        <f>BJ303/BJ321</f>
        <v>6.4516129032258063E-2</v>
      </c>
      <c r="BL303" s="6">
        <f>26/$BL$3</f>
        <v>6.4516129032258063E-2</v>
      </c>
      <c r="BN303">
        <v>15</v>
      </c>
      <c r="BO303" s="6">
        <f>BN303/BN321</f>
        <v>3.5460992907801421E-2</v>
      </c>
      <c r="BP303" s="6">
        <f>15/$BP$3</f>
        <v>3.5460992907801421E-2</v>
      </c>
      <c r="BR303">
        <v>11</v>
      </c>
      <c r="BS303" s="6">
        <f>BR303/BR321</f>
        <v>4.0145985401459854E-2</v>
      </c>
      <c r="BT303" s="6">
        <f>11/$BT$3</f>
        <v>4.0145985401459854E-2</v>
      </c>
      <c r="BV303">
        <v>18</v>
      </c>
      <c r="BW303" s="6">
        <f>BV303/BV321</f>
        <v>5.9016393442622953E-2</v>
      </c>
      <c r="BX303" s="6">
        <f>18/$BX$3</f>
        <v>5.9016393442622953E-2</v>
      </c>
      <c r="BZ303">
        <v>12</v>
      </c>
      <c r="CA303" s="6">
        <f>BZ303/BZ321</f>
        <v>5.3571428571428568E-2</v>
      </c>
      <c r="CB303" s="6">
        <f>12/$CB$3</f>
        <v>5.3571428571428568E-2</v>
      </c>
      <c r="CD303">
        <v>9</v>
      </c>
      <c r="CE303" s="6">
        <f>CD303/CD321</f>
        <v>3.7344398340248962E-2</v>
      </c>
      <c r="CF303" s="6">
        <f>9/$CF$3</f>
        <v>3.7344398340248962E-2</v>
      </c>
      <c r="CH303">
        <v>13</v>
      </c>
      <c r="CI303" s="6">
        <f>CH303/CH321</f>
        <v>3.9393939393939391E-2</v>
      </c>
      <c r="CJ303" s="6">
        <f>13/$CJ$3</f>
        <v>3.9393939393939391E-2</v>
      </c>
    </row>
    <row r="304" spans="1:88" x14ac:dyDescent="0.35">
      <c r="A304" s="1" t="s">
        <v>611</v>
      </c>
      <c r="B304">
        <v>70</v>
      </c>
      <c r="C304" s="6">
        <f>B304/B321</f>
        <v>6.363636363636363E-2</v>
      </c>
      <c r="D304" s="6">
        <f>70/$D$3</f>
        <v>6.363636363636363E-2</v>
      </c>
      <c r="F304">
        <v>59</v>
      </c>
      <c r="G304" s="6">
        <f>F304/F321</f>
        <v>6.4763995609220637E-2</v>
      </c>
      <c r="H304" s="6">
        <f>59/$H$3</f>
        <v>6.4763995609220637E-2</v>
      </c>
      <c r="J304">
        <v>26</v>
      </c>
      <c r="K304" s="6">
        <f>J304/J321</f>
        <v>5.9907834101382486E-2</v>
      </c>
      <c r="L304" s="6">
        <f>26/$L$3</f>
        <v>5.9907834101382486E-2</v>
      </c>
      <c r="N304">
        <v>4</v>
      </c>
      <c r="O304" s="6">
        <f>N304/N321</f>
        <v>4.9382716049382713E-2</v>
      </c>
      <c r="P304" s="6">
        <f>4/$P$3</f>
        <v>4.9382716049382713E-2</v>
      </c>
      <c r="R304">
        <v>35</v>
      </c>
      <c r="S304" s="6">
        <f>R304/R321</f>
        <v>6.25E-2</v>
      </c>
      <c r="T304" s="6">
        <f>35/$T$3</f>
        <v>6.25E-2</v>
      </c>
      <c r="V304">
        <v>35</v>
      </c>
      <c r="W304" s="6">
        <f>V304/V321</f>
        <v>6.4814814814814811E-2</v>
      </c>
      <c r="X304" s="6">
        <f>35/$X$3</f>
        <v>6.4814814814814811E-2</v>
      </c>
      <c r="Z304">
        <v>5</v>
      </c>
      <c r="AA304" s="6">
        <f>Z304/Z321</f>
        <v>4.4247787610619468E-2</v>
      </c>
      <c r="AB304" s="6">
        <f>5/$AB$3</f>
        <v>4.4247787610619468E-2</v>
      </c>
      <c r="AD304">
        <v>16</v>
      </c>
      <c r="AE304" s="6">
        <f>AD304/AD321</f>
        <v>8.0808080808080815E-2</v>
      </c>
      <c r="AF304" s="6">
        <f>16/$AF$3</f>
        <v>8.0808080808080815E-2</v>
      </c>
      <c r="AH304">
        <v>17</v>
      </c>
      <c r="AI304" s="6">
        <f>AH304/AH321</f>
        <v>6.8825910931174086E-2</v>
      </c>
      <c r="AJ304" s="6">
        <f>17/$AJ$3</f>
        <v>6.8825910931174086E-2</v>
      </c>
      <c r="AL304">
        <v>12</v>
      </c>
      <c r="AM304" s="6">
        <f>AL304/AL321</f>
        <v>5.1724137931034482E-2</v>
      </c>
      <c r="AN304" s="6">
        <f>12/$AN$3</f>
        <v>5.1724137931034482E-2</v>
      </c>
      <c r="AP304">
        <v>11</v>
      </c>
      <c r="AQ304" s="6">
        <f>AP304/AP321</f>
        <v>5.9139784946236562E-2</v>
      </c>
      <c r="AR304" s="6">
        <f>11/$AR$3</f>
        <v>5.9139784946236562E-2</v>
      </c>
      <c r="AT304">
        <v>9</v>
      </c>
      <c r="AU304" s="6">
        <f>AT304/AT321</f>
        <v>7.2580645161290328E-2</v>
      </c>
      <c r="AV304" s="6">
        <f>9/$AV$3</f>
        <v>7.2580645161290328E-2</v>
      </c>
      <c r="AX304">
        <v>33</v>
      </c>
      <c r="AY304" s="6">
        <f>AX304/AX321</f>
        <v>7.6744186046511634E-2</v>
      </c>
      <c r="AZ304" s="6">
        <f>33/$AZ$3</f>
        <v>7.6744186046511634E-2</v>
      </c>
      <c r="BB304">
        <v>27</v>
      </c>
      <c r="BC304" s="6">
        <f>BB304/BB321</f>
        <v>6.3084112149532703E-2</v>
      </c>
      <c r="BD304" s="6">
        <f>27/$BD$3</f>
        <v>6.3084112149532703E-2</v>
      </c>
      <c r="BF304">
        <v>10</v>
      </c>
      <c r="BG304" s="6">
        <f>BF304/BF321</f>
        <v>4.1322314049586778E-2</v>
      </c>
      <c r="BH304" s="6">
        <f>10/$BH$3</f>
        <v>4.1322314049586778E-2</v>
      </c>
      <c r="BJ304">
        <v>31</v>
      </c>
      <c r="BK304" s="6">
        <f>BJ304/BJ321</f>
        <v>7.6923076923076927E-2</v>
      </c>
      <c r="BL304" s="6">
        <f>31/$BL$3</f>
        <v>7.6923076923076927E-2</v>
      </c>
      <c r="BN304">
        <v>25</v>
      </c>
      <c r="BO304" s="6">
        <f>BN304/BN321</f>
        <v>5.9101654846335699E-2</v>
      </c>
      <c r="BP304" s="6">
        <f>25/$BP$3</f>
        <v>5.9101654846335699E-2</v>
      </c>
      <c r="BR304">
        <v>14</v>
      </c>
      <c r="BS304" s="6">
        <f>BR304/BR321</f>
        <v>5.1094890510948905E-2</v>
      </c>
      <c r="BT304" s="6">
        <f>14/$BT$3</f>
        <v>5.1094890510948905E-2</v>
      </c>
      <c r="BV304">
        <v>22</v>
      </c>
      <c r="BW304" s="6">
        <f>BV304/BV321</f>
        <v>7.2131147540983612E-2</v>
      </c>
      <c r="BX304" s="6">
        <f>22/$BX$3</f>
        <v>7.2131147540983612E-2</v>
      </c>
      <c r="BZ304">
        <v>14</v>
      </c>
      <c r="CA304" s="6">
        <f>BZ304/BZ321</f>
        <v>6.25E-2</v>
      </c>
      <c r="CB304" s="6">
        <f>14/$CB$3</f>
        <v>6.25E-2</v>
      </c>
      <c r="CD304">
        <v>12</v>
      </c>
      <c r="CE304" s="6">
        <f>CD304/CD321</f>
        <v>4.9792531120331947E-2</v>
      </c>
      <c r="CF304" s="6">
        <f>12/$CF$3</f>
        <v>4.9792531120331947E-2</v>
      </c>
      <c r="CH304">
        <v>22</v>
      </c>
      <c r="CI304" s="6">
        <f>CH304/CH321</f>
        <v>6.6666666666666666E-2</v>
      </c>
      <c r="CJ304" s="6">
        <f>22/$CJ$3</f>
        <v>6.6666666666666666E-2</v>
      </c>
    </row>
    <row r="305" spans="1:88" x14ac:dyDescent="0.35">
      <c r="A305" s="1" t="s">
        <v>612</v>
      </c>
      <c r="B305">
        <v>101</v>
      </c>
      <c r="C305" s="6">
        <f>B305/B321</f>
        <v>9.1818181818181813E-2</v>
      </c>
      <c r="D305" s="6">
        <f>101/$D$3</f>
        <v>9.1818181818181813E-2</v>
      </c>
      <c r="F305">
        <v>82</v>
      </c>
      <c r="G305" s="6">
        <f>F305/F321</f>
        <v>9.0010976948408344E-2</v>
      </c>
      <c r="H305" s="6">
        <f>82/$H$3</f>
        <v>9.0010976948408344E-2</v>
      </c>
      <c r="J305">
        <v>34</v>
      </c>
      <c r="K305" s="6">
        <f>J305/J321</f>
        <v>7.8341013824884786E-2</v>
      </c>
      <c r="L305" s="6">
        <f>34/$L$3</f>
        <v>7.8341013824884786E-2</v>
      </c>
      <c r="N305">
        <v>13</v>
      </c>
      <c r="O305" s="6">
        <f>N305/N321</f>
        <v>0.16049382716049382</v>
      </c>
      <c r="P305" s="9">
        <f>13/$P$3</f>
        <v>0.16049382716049382</v>
      </c>
      <c r="R305">
        <v>50</v>
      </c>
      <c r="S305" s="6">
        <f>R305/R321</f>
        <v>8.9285714285714288E-2</v>
      </c>
      <c r="T305" s="6">
        <f>50/$T$3</f>
        <v>8.9285714285714288E-2</v>
      </c>
      <c r="V305">
        <v>51</v>
      </c>
      <c r="W305" s="6">
        <f>V305/V321</f>
        <v>9.4444444444444442E-2</v>
      </c>
      <c r="X305" s="6">
        <f>51/$X$3</f>
        <v>9.4444444444444442E-2</v>
      </c>
      <c r="Z305">
        <v>22</v>
      </c>
      <c r="AA305" s="6">
        <f>Z305/Z321</f>
        <v>0.19469026548672566</v>
      </c>
      <c r="AB305" s="9">
        <f>22/$AB$3</f>
        <v>0.19469026548672566</v>
      </c>
      <c r="AC305" s="7"/>
      <c r="AD305">
        <v>18</v>
      </c>
      <c r="AE305" s="6">
        <f>AD305/AD321</f>
        <v>9.0909090909090912E-2</v>
      </c>
      <c r="AF305" s="6">
        <f>18/$AF$3</f>
        <v>9.0909090909090912E-2</v>
      </c>
      <c r="AH305">
        <v>15</v>
      </c>
      <c r="AI305" s="6">
        <f>AH305/AH321</f>
        <v>6.0728744939271252E-2</v>
      </c>
      <c r="AJ305" s="6">
        <f>15/$AJ$3</f>
        <v>6.0728744939271252E-2</v>
      </c>
      <c r="AL305">
        <v>16</v>
      </c>
      <c r="AM305" s="6">
        <f>AL305/AL321</f>
        <v>6.8965517241379309E-2</v>
      </c>
      <c r="AN305" s="6">
        <f>16/$AN$3</f>
        <v>6.8965517241379309E-2</v>
      </c>
      <c r="AP305">
        <v>17</v>
      </c>
      <c r="AQ305" s="6">
        <f>AP305/AP321</f>
        <v>9.1397849462365593E-2</v>
      </c>
      <c r="AR305" s="6">
        <f>17/$AR$3</f>
        <v>9.1397849462365593E-2</v>
      </c>
      <c r="AT305">
        <v>13</v>
      </c>
      <c r="AU305" s="6">
        <f>AT305/AT321</f>
        <v>0.10483870967741936</v>
      </c>
      <c r="AV305" s="6">
        <f>13/$AV$3</f>
        <v>0.10483870967741936</v>
      </c>
      <c r="AX305">
        <v>39</v>
      </c>
      <c r="AY305" s="6">
        <f>AX305/AX321</f>
        <v>9.0697674418604657E-2</v>
      </c>
      <c r="AZ305" s="6">
        <f>39/$AZ$3</f>
        <v>9.0697674418604657E-2</v>
      </c>
      <c r="BB305">
        <v>43</v>
      </c>
      <c r="BC305" s="6">
        <f>BB305/BB321</f>
        <v>0.10046728971962617</v>
      </c>
      <c r="BD305" s="6">
        <f>43/$BD$3</f>
        <v>0.10046728971962617</v>
      </c>
      <c r="BF305">
        <v>19</v>
      </c>
      <c r="BG305" s="6">
        <f>BF305/BF321</f>
        <v>7.8512396694214878E-2</v>
      </c>
      <c r="BH305" s="6">
        <f>19/$BH$3</f>
        <v>7.8512396694214878E-2</v>
      </c>
      <c r="BJ305">
        <v>38</v>
      </c>
      <c r="BK305" s="6">
        <f>BJ305/BJ321</f>
        <v>9.4292803970223327E-2</v>
      </c>
      <c r="BL305" s="6">
        <f>38/$BL$3</f>
        <v>9.4292803970223327E-2</v>
      </c>
      <c r="BN305">
        <v>42</v>
      </c>
      <c r="BO305" s="6">
        <f>BN305/BN321</f>
        <v>9.9290780141843976E-2</v>
      </c>
      <c r="BP305" s="6">
        <f>42/$BP$3</f>
        <v>9.9290780141843976E-2</v>
      </c>
      <c r="BR305">
        <v>21</v>
      </c>
      <c r="BS305" s="6">
        <f>BR305/BR321</f>
        <v>7.6642335766423361E-2</v>
      </c>
      <c r="BT305" s="6">
        <f>21/$BT$3</f>
        <v>7.6642335766423361E-2</v>
      </c>
      <c r="BV305">
        <v>29</v>
      </c>
      <c r="BW305" s="6">
        <f>BV305/BV321</f>
        <v>9.5081967213114751E-2</v>
      </c>
      <c r="BX305" s="6">
        <f>29/$BX$3</f>
        <v>9.5081967213114751E-2</v>
      </c>
      <c r="BZ305">
        <v>20</v>
      </c>
      <c r="CA305" s="6">
        <f>BZ305/BZ321</f>
        <v>8.9285714285714288E-2</v>
      </c>
      <c r="CB305" s="6">
        <f>20/$CB$3</f>
        <v>8.9285714285714288E-2</v>
      </c>
      <c r="CD305">
        <v>25</v>
      </c>
      <c r="CE305" s="6">
        <f>CD305/CD321</f>
        <v>0.1037344398340249</v>
      </c>
      <c r="CF305" s="6">
        <f>25/$CF$3</f>
        <v>0.1037344398340249</v>
      </c>
      <c r="CH305">
        <v>27</v>
      </c>
      <c r="CI305" s="6">
        <f>CH305/CH321</f>
        <v>8.1818181818181818E-2</v>
      </c>
      <c r="CJ305" s="6">
        <f>27/$CJ$3</f>
        <v>8.1818181818181818E-2</v>
      </c>
    </row>
    <row r="306" spans="1:88" x14ac:dyDescent="0.35">
      <c r="A306" s="1" t="s">
        <v>613</v>
      </c>
      <c r="B306">
        <v>71</v>
      </c>
      <c r="C306" s="6">
        <f>B306/B321</f>
        <v>6.4545454545454545E-2</v>
      </c>
      <c r="D306" s="6">
        <f>71/$D$3</f>
        <v>6.4545454545454545E-2</v>
      </c>
      <c r="F306">
        <v>61</v>
      </c>
      <c r="G306" s="6">
        <f>F306/F321</f>
        <v>6.6959385290889128E-2</v>
      </c>
      <c r="H306" s="6">
        <f>61/$H$3</f>
        <v>6.6959385290889128E-2</v>
      </c>
      <c r="J306">
        <v>24</v>
      </c>
      <c r="K306" s="6">
        <f>J306/J321</f>
        <v>5.5299539170506916E-2</v>
      </c>
      <c r="L306" s="6">
        <f>24/$L$3</f>
        <v>5.5299539170506916E-2</v>
      </c>
      <c r="N306">
        <v>7</v>
      </c>
      <c r="O306" s="6">
        <f>N306/N321</f>
        <v>8.6419753086419748E-2</v>
      </c>
      <c r="P306" s="6">
        <f>7/$P$3</f>
        <v>8.6419753086419748E-2</v>
      </c>
      <c r="R306">
        <v>38</v>
      </c>
      <c r="S306" s="6">
        <f>R306/R321</f>
        <v>6.7857142857142852E-2</v>
      </c>
      <c r="T306" s="6">
        <f>38/$T$3</f>
        <v>6.7857142857142852E-2</v>
      </c>
      <c r="V306">
        <v>33</v>
      </c>
      <c r="W306" s="6">
        <f>V306/V321</f>
        <v>6.1111111111111109E-2</v>
      </c>
      <c r="X306" s="6">
        <f>33/$X$3</f>
        <v>6.1111111111111109E-2</v>
      </c>
      <c r="Z306">
        <v>9</v>
      </c>
      <c r="AA306" s="6">
        <f>Z306/Z321</f>
        <v>7.9646017699115043E-2</v>
      </c>
      <c r="AB306" s="6">
        <f>9/$AB$3</f>
        <v>7.9646017699115043E-2</v>
      </c>
      <c r="AD306">
        <v>9</v>
      </c>
      <c r="AE306" s="6">
        <f>AD306/AD321</f>
        <v>4.5454545454545456E-2</v>
      </c>
      <c r="AF306" s="6">
        <f>9/$AF$3</f>
        <v>4.5454545454545456E-2</v>
      </c>
      <c r="AH306">
        <v>19</v>
      </c>
      <c r="AI306" s="6">
        <f>AH306/AH321</f>
        <v>7.6923076923076927E-2</v>
      </c>
      <c r="AJ306" s="6">
        <f>19/$AJ$3</f>
        <v>7.6923076923076927E-2</v>
      </c>
      <c r="AL306">
        <v>11</v>
      </c>
      <c r="AM306" s="6">
        <f>AL306/AL321</f>
        <v>4.7413793103448273E-2</v>
      </c>
      <c r="AN306" s="6">
        <f>11/$AN$3</f>
        <v>4.7413793103448273E-2</v>
      </c>
      <c r="AP306">
        <v>10</v>
      </c>
      <c r="AQ306" s="6">
        <f>AP306/AP321</f>
        <v>5.3763440860215055E-2</v>
      </c>
      <c r="AR306" s="6">
        <f>10/$AR$3</f>
        <v>5.3763440860215055E-2</v>
      </c>
      <c r="AT306">
        <v>13</v>
      </c>
      <c r="AU306" s="6">
        <f>AT306/AT321</f>
        <v>0.10483870967741936</v>
      </c>
      <c r="AV306" s="6">
        <f>13/$AV$3</f>
        <v>0.10483870967741936</v>
      </c>
      <c r="AX306">
        <v>29</v>
      </c>
      <c r="AY306" s="6">
        <f>AX306/AX321</f>
        <v>6.7441860465116285E-2</v>
      </c>
      <c r="AZ306" s="6">
        <f>29/$AZ$3</f>
        <v>6.7441860465116285E-2</v>
      </c>
      <c r="BB306">
        <v>24</v>
      </c>
      <c r="BC306" s="6">
        <f>BB306/BB321</f>
        <v>5.6074766355140186E-2</v>
      </c>
      <c r="BD306" s="6">
        <f>24/$BD$3</f>
        <v>5.6074766355140186E-2</v>
      </c>
      <c r="BF306">
        <v>18</v>
      </c>
      <c r="BG306" s="6">
        <f>BF306/BF321</f>
        <v>7.43801652892562E-2</v>
      </c>
      <c r="BH306" s="6">
        <f>18/$BH$3</f>
        <v>7.43801652892562E-2</v>
      </c>
      <c r="BJ306">
        <v>26</v>
      </c>
      <c r="BK306" s="6">
        <f>BJ306/BJ321</f>
        <v>6.4516129032258063E-2</v>
      </c>
      <c r="BL306" s="6">
        <f>26/$BL$3</f>
        <v>6.4516129032258063E-2</v>
      </c>
      <c r="BN306">
        <v>29</v>
      </c>
      <c r="BO306" s="6">
        <f>BN306/BN321</f>
        <v>6.8557919621749411E-2</v>
      </c>
      <c r="BP306" s="6">
        <f>29/$BP$3</f>
        <v>6.8557919621749411E-2</v>
      </c>
      <c r="BR306">
        <v>16</v>
      </c>
      <c r="BS306" s="6">
        <f>BR306/BR321</f>
        <v>5.8394160583941604E-2</v>
      </c>
      <c r="BT306" s="6">
        <f>16/$BT$3</f>
        <v>5.8394160583941604E-2</v>
      </c>
      <c r="BV306">
        <v>24</v>
      </c>
      <c r="BW306" s="6">
        <f>BV306/BV321</f>
        <v>7.8688524590163941E-2</v>
      </c>
      <c r="BX306" s="6">
        <f>24/$BX$3</f>
        <v>7.8688524590163941E-2</v>
      </c>
      <c r="BZ306">
        <v>10</v>
      </c>
      <c r="CA306" s="6">
        <f>BZ306/BZ321</f>
        <v>4.4642857142857144E-2</v>
      </c>
      <c r="CB306" s="6">
        <f>10/$CB$3</f>
        <v>4.4642857142857144E-2</v>
      </c>
      <c r="CD306">
        <v>19</v>
      </c>
      <c r="CE306" s="6">
        <f>CD306/CD321</f>
        <v>7.8838174273858919E-2</v>
      </c>
      <c r="CF306" s="6">
        <f>19/$CF$3</f>
        <v>7.8838174273858919E-2</v>
      </c>
      <c r="CH306">
        <v>18</v>
      </c>
      <c r="CI306" s="6">
        <f>CH306/CH321</f>
        <v>5.4545454545454543E-2</v>
      </c>
      <c r="CJ306" s="6">
        <f>18/$CJ$3</f>
        <v>5.4545454545454543E-2</v>
      </c>
    </row>
    <row r="307" spans="1:88" x14ac:dyDescent="0.35">
      <c r="A307" s="1" t="s">
        <v>614</v>
      </c>
      <c r="B307">
        <v>228</v>
      </c>
      <c r="C307" s="6">
        <f>B307/B321</f>
        <v>0.20727272727272728</v>
      </c>
      <c r="D307" s="6">
        <f>228/$D$3</f>
        <v>0.20727272727272728</v>
      </c>
      <c r="F307">
        <v>188</v>
      </c>
      <c r="G307" s="6">
        <f>F307/F321</f>
        <v>0.20636663007683864</v>
      </c>
      <c r="H307" s="6">
        <f>188/$H$3</f>
        <v>0.20636663007683864</v>
      </c>
      <c r="J307">
        <v>91</v>
      </c>
      <c r="K307" s="6">
        <f>J307/J321</f>
        <v>0.20967741935483872</v>
      </c>
      <c r="L307" s="6">
        <f>91/$L$3</f>
        <v>0.20967741935483872</v>
      </c>
      <c r="N307">
        <v>20</v>
      </c>
      <c r="O307" s="6">
        <f>N307/N321</f>
        <v>0.24691358024691357</v>
      </c>
      <c r="P307" s="6">
        <f>20/$P$3</f>
        <v>0.24691358024691357</v>
      </c>
      <c r="R307">
        <v>119</v>
      </c>
      <c r="S307" s="6">
        <f>R307/R321</f>
        <v>0.21249999999999999</v>
      </c>
      <c r="T307" s="6">
        <f>119/$T$3</f>
        <v>0.21249999999999999</v>
      </c>
      <c r="V307">
        <v>109</v>
      </c>
      <c r="W307" s="6">
        <f>V307/V321</f>
        <v>0.20185185185185187</v>
      </c>
      <c r="X307" s="6">
        <f>109/$X$3</f>
        <v>0.20185185185185187</v>
      </c>
      <c r="Z307">
        <v>22</v>
      </c>
      <c r="AA307" s="6">
        <f>Z307/Z321</f>
        <v>0.19469026548672566</v>
      </c>
      <c r="AB307" s="6">
        <f>22/$AB$3</f>
        <v>0.19469026548672566</v>
      </c>
      <c r="AD307">
        <v>38</v>
      </c>
      <c r="AE307" s="6">
        <f>AD307/AD321</f>
        <v>0.19191919191919191</v>
      </c>
      <c r="AF307" s="6">
        <f>38/$AF$3</f>
        <v>0.19191919191919191</v>
      </c>
      <c r="AH307">
        <v>45</v>
      </c>
      <c r="AI307" s="6">
        <f>AH307/AH321</f>
        <v>0.18218623481781376</v>
      </c>
      <c r="AJ307" s="6">
        <f>45/$AJ$3</f>
        <v>0.18218623481781376</v>
      </c>
      <c r="AL307">
        <v>47</v>
      </c>
      <c r="AM307" s="6">
        <f>AL307/AL321</f>
        <v>0.20258620689655171</v>
      </c>
      <c r="AN307" s="6">
        <f>47/$AN$3</f>
        <v>0.20258620689655171</v>
      </c>
      <c r="AP307">
        <v>40</v>
      </c>
      <c r="AQ307" s="6">
        <f>AP307/AP321</f>
        <v>0.21505376344086022</v>
      </c>
      <c r="AR307" s="6">
        <f>40/$AR$3</f>
        <v>0.21505376344086022</v>
      </c>
      <c r="AT307">
        <v>36</v>
      </c>
      <c r="AU307" s="6">
        <f>AT307/AT321</f>
        <v>0.29032258064516131</v>
      </c>
      <c r="AV307" s="9">
        <f>36/$AV$3</f>
        <v>0.29032258064516131</v>
      </c>
      <c r="AX307">
        <v>75</v>
      </c>
      <c r="AY307" s="6">
        <f>AX307/AX321</f>
        <v>0.1744186046511628</v>
      </c>
      <c r="AZ307" s="6">
        <f>75/$AZ$3</f>
        <v>0.1744186046511628</v>
      </c>
      <c r="BB307">
        <v>96</v>
      </c>
      <c r="BC307" s="6">
        <f>BB307/BB321</f>
        <v>0.22429906542056074</v>
      </c>
      <c r="BD307" s="6">
        <f>96/$BD$3</f>
        <v>0.22429906542056074</v>
      </c>
      <c r="BF307">
        <v>57</v>
      </c>
      <c r="BG307" s="6">
        <f>BF307/BF321</f>
        <v>0.23553719008264462</v>
      </c>
      <c r="BH307" s="6">
        <f>57/$BH$3</f>
        <v>0.23553719008264462</v>
      </c>
      <c r="BJ307">
        <v>86</v>
      </c>
      <c r="BK307" s="6">
        <f>BJ307/BJ321</f>
        <v>0.21339950372208435</v>
      </c>
      <c r="BL307" s="6">
        <f>86/$BL$3</f>
        <v>0.21339950372208435</v>
      </c>
      <c r="BN307">
        <v>92</v>
      </c>
      <c r="BO307" s="6">
        <f>BN307/BN321</f>
        <v>0.21749408983451538</v>
      </c>
      <c r="BP307" s="6">
        <f>92/$BP$3</f>
        <v>0.21749408983451538</v>
      </c>
      <c r="BR307">
        <v>50</v>
      </c>
      <c r="BS307" s="6">
        <f>BR307/BR321</f>
        <v>0.18248175182481752</v>
      </c>
      <c r="BT307" s="6">
        <f>50/$BT$3</f>
        <v>0.18248175182481752</v>
      </c>
      <c r="BV307">
        <v>61</v>
      </c>
      <c r="BW307" s="6">
        <f>BV307/BV321</f>
        <v>0.2</v>
      </c>
      <c r="BX307" s="6">
        <f>61/$BX$3</f>
        <v>0.2</v>
      </c>
      <c r="BZ307">
        <v>44</v>
      </c>
      <c r="CA307" s="6">
        <f>BZ307/BZ321</f>
        <v>0.19642857142857142</v>
      </c>
      <c r="CB307" s="6">
        <f>44/$CB$3</f>
        <v>0.19642857142857142</v>
      </c>
      <c r="CD307">
        <v>48</v>
      </c>
      <c r="CE307" s="6">
        <f>CD307/CD321</f>
        <v>0.19917012448132779</v>
      </c>
      <c r="CF307" s="6">
        <f>48/$CF$3</f>
        <v>0.19917012448132779</v>
      </c>
      <c r="CH307">
        <v>75</v>
      </c>
      <c r="CI307" s="6">
        <f>CH307/CH321</f>
        <v>0.22727272727272727</v>
      </c>
      <c r="CJ307" s="6">
        <f>75/$CJ$3</f>
        <v>0.22727272727272727</v>
      </c>
    </row>
    <row r="308" spans="1:88" x14ac:dyDescent="0.35">
      <c r="A308" s="1" t="s">
        <v>615</v>
      </c>
      <c r="B308">
        <v>41</v>
      </c>
      <c r="C308" s="6">
        <f>B308/B321</f>
        <v>3.727272727272727E-2</v>
      </c>
      <c r="D308" s="6">
        <f>41/$D$3</f>
        <v>3.727272727272727E-2</v>
      </c>
      <c r="F308">
        <v>36</v>
      </c>
      <c r="G308" s="6">
        <f>F308/F321</f>
        <v>3.951701427003293E-2</v>
      </c>
      <c r="H308" s="6">
        <f>36/$H$3</f>
        <v>3.951701427003293E-2</v>
      </c>
      <c r="J308">
        <v>13</v>
      </c>
      <c r="K308" s="6">
        <f>J308/J321</f>
        <v>2.9953917050691243E-2</v>
      </c>
      <c r="L308" s="6">
        <f>13/$L$3</f>
        <v>2.9953917050691243E-2</v>
      </c>
      <c r="N308">
        <v>4</v>
      </c>
      <c r="O308" s="6">
        <f>N308/N321</f>
        <v>4.9382716049382713E-2</v>
      </c>
      <c r="P308" s="6">
        <f>4/$P$3</f>
        <v>4.9382716049382713E-2</v>
      </c>
      <c r="R308">
        <v>20</v>
      </c>
      <c r="S308" s="6">
        <f>R308/R321</f>
        <v>3.5714285714285712E-2</v>
      </c>
      <c r="T308" s="6">
        <f>20/$T$3</f>
        <v>3.5714285714285712E-2</v>
      </c>
      <c r="V308">
        <v>21</v>
      </c>
      <c r="W308" s="6">
        <f>V308/V321</f>
        <v>3.888888888888889E-2</v>
      </c>
      <c r="X308" s="6">
        <f>21/$X$3</f>
        <v>3.888888888888889E-2</v>
      </c>
      <c r="Z308">
        <v>9</v>
      </c>
      <c r="AA308" s="6">
        <f>Z308/Z321</f>
        <v>7.9646017699115043E-2</v>
      </c>
      <c r="AB308" s="6">
        <f>9/$AB$3</f>
        <v>7.9646017699115043E-2</v>
      </c>
      <c r="AC308" s="7"/>
      <c r="AD308">
        <v>9</v>
      </c>
      <c r="AE308" s="6">
        <f>AD308/AD321</f>
        <v>4.5454545454545456E-2</v>
      </c>
      <c r="AF308" s="6">
        <f>9/$AF$3</f>
        <v>4.5454545454545456E-2</v>
      </c>
      <c r="AH308">
        <v>5</v>
      </c>
      <c r="AI308" s="6">
        <f>AH308/AH321</f>
        <v>2.0242914979757085E-2</v>
      </c>
      <c r="AJ308" s="6">
        <f>5/$AJ$3</f>
        <v>2.0242914979757085E-2</v>
      </c>
      <c r="AL308">
        <v>11</v>
      </c>
      <c r="AM308" s="6">
        <f>AL308/AL321</f>
        <v>4.7413793103448273E-2</v>
      </c>
      <c r="AN308" s="6">
        <f>11/$AN$3</f>
        <v>4.7413793103448273E-2</v>
      </c>
      <c r="AP308">
        <v>6</v>
      </c>
      <c r="AQ308" s="6">
        <f>AP308/AP321</f>
        <v>3.2258064516129031E-2</v>
      </c>
      <c r="AR308" s="6">
        <f>6/$AR$3</f>
        <v>3.2258064516129031E-2</v>
      </c>
      <c r="AT308">
        <v>1</v>
      </c>
      <c r="AU308" s="6">
        <f>AT308/AT321</f>
        <v>8.0645161290322578E-3</v>
      </c>
      <c r="AV308" s="6">
        <f>1/$AV$3</f>
        <v>8.0645161290322578E-3</v>
      </c>
      <c r="AX308">
        <v>23</v>
      </c>
      <c r="AY308" s="6">
        <f>AX308/AX321</f>
        <v>5.3488372093023255E-2</v>
      </c>
      <c r="AZ308" s="6">
        <f>23/$AZ$3</f>
        <v>5.3488372093023255E-2</v>
      </c>
      <c r="BB308">
        <v>12</v>
      </c>
      <c r="BC308" s="6">
        <f>BB308/BB321</f>
        <v>2.8037383177570093E-2</v>
      </c>
      <c r="BD308" s="6">
        <f>12/$BD$3</f>
        <v>2.8037383177570093E-2</v>
      </c>
      <c r="BF308">
        <v>6</v>
      </c>
      <c r="BG308" s="6">
        <f>BF308/BF321</f>
        <v>2.4793388429752067E-2</v>
      </c>
      <c r="BH308" s="6">
        <f>6/$BH$3</f>
        <v>2.4793388429752067E-2</v>
      </c>
      <c r="BJ308">
        <v>19</v>
      </c>
      <c r="BK308" s="6">
        <f>BJ308/BJ321</f>
        <v>4.7146401985111663E-2</v>
      </c>
      <c r="BL308" s="6">
        <f>19/$BL$3</f>
        <v>4.7146401985111663E-2</v>
      </c>
      <c r="BN308">
        <v>12</v>
      </c>
      <c r="BO308" s="6">
        <f>BN308/BN321</f>
        <v>2.8368794326241134E-2</v>
      </c>
      <c r="BP308" s="6">
        <f>12/$BP$3</f>
        <v>2.8368794326241134E-2</v>
      </c>
      <c r="BR308">
        <v>10</v>
      </c>
      <c r="BS308" s="6">
        <f>BR308/BR321</f>
        <v>3.6496350364963501E-2</v>
      </c>
      <c r="BT308" s="6">
        <f>10/$BT$3</f>
        <v>3.6496350364963501E-2</v>
      </c>
      <c r="BV308">
        <v>12</v>
      </c>
      <c r="BW308" s="6">
        <f>BV308/BV321</f>
        <v>3.9344262295081971E-2</v>
      </c>
      <c r="BX308" s="6">
        <f>12/$BX$3</f>
        <v>3.9344262295081971E-2</v>
      </c>
      <c r="BZ308">
        <v>7</v>
      </c>
      <c r="CA308" s="6">
        <f>BZ308/BZ321</f>
        <v>3.125E-2</v>
      </c>
      <c r="CB308" s="6">
        <f>7/$CB$3</f>
        <v>3.125E-2</v>
      </c>
      <c r="CD308">
        <v>9</v>
      </c>
      <c r="CE308" s="6">
        <f>CD308/CD321</f>
        <v>3.7344398340248962E-2</v>
      </c>
      <c r="CF308" s="6">
        <f>9/$CF$3</f>
        <v>3.7344398340248962E-2</v>
      </c>
      <c r="CH308">
        <v>13</v>
      </c>
      <c r="CI308" s="6">
        <f>CH308/CH321</f>
        <v>3.9393939393939391E-2</v>
      </c>
      <c r="CJ308" s="6">
        <f>13/$CJ$3</f>
        <v>3.9393939393939391E-2</v>
      </c>
    </row>
    <row r="309" spans="1:88" x14ac:dyDescent="0.35">
      <c r="A309" s="1" t="s">
        <v>616</v>
      </c>
      <c r="B309">
        <v>54</v>
      </c>
      <c r="C309" s="6">
        <f>B309/B321</f>
        <v>4.9090909090909088E-2</v>
      </c>
      <c r="D309" s="6">
        <f>54/$D$3</f>
        <v>4.9090909090909088E-2</v>
      </c>
      <c r="F309">
        <v>49</v>
      </c>
      <c r="G309" s="6">
        <f>F309/F321</f>
        <v>5.3787047200878159E-2</v>
      </c>
      <c r="H309" s="6">
        <f>49/$H$3</f>
        <v>5.3787047200878159E-2</v>
      </c>
      <c r="J309">
        <v>23</v>
      </c>
      <c r="K309" s="6">
        <f>J309/J321</f>
        <v>5.2995391705069124E-2</v>
      </c>
      <c r="L309" s="6">
        <f>23/$L$3</f>
        <v>5.2995391705069124E-2</v>
      </c>
      <c r="N309">
        <v>6</v>
      </c>
      <c r="O309" s="6">
        <f>N309/N321</f>
        <v>7.407407407407407E-2</v>
      </c>
      <c r="P309" s="6">
        <f>6/$P$3</f>
        <v>7.407407407407407E-2</v>
      </c>
      <c r="R309">
        <v>33</v>
      </c>
      <c r="S309" s="6">
        <f>R309/R321</f>
        <v>5.8928571428571427E-2</v>
      </c>
      <c r="T309" s="6">
        <f>33/$T$3</f>
        <v>5.8928571428571427E-2</v>
      </c>
      <c r="V309">
        <v>21</v>
      </c>
      <c r="W309" s="6">
        <f>V309/V321</f>
        <v>3.888888888888889E-2</v>
      </c>
      <c r="X309" s="6">
        <f>21/$X$3</f>
        <v>3.888888888888889E-2</v>
      </c>
      <c r="Z309">
        <v>8</v>
      </c>
      <c r="AA309" s="6">
        <f>Z309/Z321</f>
        <v>7.0796460176991149E-2</v>
      </c>
      <c r="AB309" s="6">
        <f>8/$AB$3</f>
        <v>7.0796460176991149E-2</v>
      </c>
      <c r="AD309">
        <v>10</v>
      </c>
      <c r="AE309" s="6">
        <f>AD309/AD321</f>
        <v>5.0505050505050504E-2</v>
      </c>
      <c r="AF309" s="6">
        <f>10/$AF$3</f>
        <v>5.0505050505050504E-2</v>
      </c>
      <c r="AH309">
        <v>11</v>
      </c>
      <c r="AI309" s="6">
        <f>AH309/AH321</f>
        <v>4.4534412955465584E-2</v>
      </c>
      <c r="AJ309" s="6">
        <f>11/$AJ$3</f>
        <v>4.4534412955465584E-2</v>
      </c>
      <c r="AL309">
        <v>5</v>
      </c>
      <c r="AM309" s="6">
        <f>AL309/AL321</f>
        <v>2.1551724137931036E-2</v>
      </c>
      <c r="AN309" s="6">
        <f>5/$AN$3</f>
        <v>2.1551724137931036E-2</v>
      </c>
      <c r="AP309">
        <v>16</v>
      </c>
      <c r="AQ309" s="6">
        <f>AP309/AP321</f>
        <v>8.6021505376344093E-2</v>
      </c>
      <c r="AR309" s="6">
        <f>16/$AR$3</f>
        <v>8.6021505376344093E-2</v>
      </c>
      <c r="AS309" s="7"/>
      <c r="AT309">
        <v>4</v>
      </c>
      <c r="AU309" s="6">
        <f>AT309/AT321</f>
        <v>3.2258064516129031E-2</v>
      </c>
      <c r="AV309" s="6">
        <f>4/$AV$3</f>
        <v>3.2258064516129031E-2</v>
      </c>
      <c r="AX309">
        <v>26</v>
      </c>
      <c r="AY309" s="6">
        <f>AX309/AX321</f>
        <v>6.0465116279069767E-2</v>
      </c>
      <c r="AZ309" s="6">
        <f>26/$AZ$3</f>
        <v>6.0465116279069767E-2</v>
      </c>
      <c r="BB309">
        <v>16</v>
      </c>
      <c r="BC309" s="6">
        <f>BB309/BB321</f>
        <v>3.7383177570093455E-2</v>
      </c>
      <c r="BD309" s="6">
        <f>16/$BD$3</f>
        <v>3.7383177570093455E-2</v>
      </c>
      <c r="BF309">
        <v>12</v>
      </c>
      <c r="BG309" s="6">
        <f>BF309/BF321</f>
        <v>4.9586776859504134E-2</v>
      </c>
      <c r="BH309" s="6">
        <f>12/$BH$3</f>
        <v>4.9586776859504134E-2</v>
      </c>
      <c r="BJ309">
        <v>19</v>
      </c>
      <c r="BK309" s="6">
        <f>BJ309/BJ321</f>
        <v>4.7146401985111663E-2</v>
      </c>
      <c r="BL309" s="6">
        <f>19/$BL$3</f>
        <v>4.7146401985111663E-2</v>
      </c>
      <c r="BN309">
        <v>18</v>
      </c>
      <c r="BO309" s="6">
        <f>BN309/BN321</f>
        <v>4.2553191489361701E-2</v>
      </c>
      <c r="BP309" s="6">
        <f>18/$BP$3</f>
        <v>4.2553191489361701E-2</v>
      </c>
      <c r="BR309">
        <v>17</v>
      </c>
      <c r="BS309" s="6">
        <f>BR309/BR321</f>
        <v>6.2043795620437957E-2</v>
      </c>
      <c r="BT309" s="6">
        <f>17/$BT$3</f>
        <v>6.2043795620437957E-2</v>
      </c>
      <c r="BV309">
        <v>13</v>
      </c>
      <c r="BW309" s="6">
        <f>BV309/BV321</f>
        <v>4.2622950819672129E-2</v>
      </c>
      <c r="BX309" s="6">
        <f>13/$BX$3</f>
        <v>4.2622950819672129E-2</v>
      </c>
      <c r="BZ309">
        <v>11</v>
      </c>
      <c r="CA309" s="6">
        <f>BZ309/BZ321</f>
        <v>4.9107142857142856E-2</v>
      </c>
      <c r="CB309" s="6">
        <f>11/$CB$3</f>
        <v>4.9107142857142856E-2</v>
      </c>
      <c r="CD309">
        <v>10</v>
      </c>
      <c r="CE309" s="6">
        <f>CD309/CD321</f>
        <v>4.1493775933609957E-2</v>
      </c>
      <c r="CF309" s="6">
        <f>10/$CF$3</f>
        <v>4.1493775933609957E-2</v>
      </c>
      <c r="CH309">
        <v>20</v>
      </c>
      <c r="CI309" s="6">
        <f>CH309/CH321</f>
        <v>6.0606060606060608E-2</v>
      </c>
      <c r="CJ309" s="6">
        <f>20/$CJ$3</f>
        <v>6.0606060606060608E-2</v>
      </c>
    </row>
    <row r="311" spans="1:88" x14ac:dyDescent="0.35">
      <c r="A311" s="1" t="s">
        <v>617</v>
      </c>
      <c r="B311">
        <v>141</v>
      </c>
      <c r="C311" s="6">
        <f>B311/B321</f>
        <v>0.12818181818181817</v>
      </c>
      <c r="D311" s="6">
        <f>141/$D$3</f>
        <v>0.12818181818181817</v>
      </c>
      <c r="F311">
        <v>83</v>
      </c>
      <c r="G311" s="6">
        <f>F311/F321</f>
        <v>9.110867178924259E-2</v>
      </c>
      <c r="H311" s="6">
        <f>83/$H$3</f>
        <v>9.110867178924259E-2</v>
      </c>
      <c r="J311">
        <v>12</v>
      </c>
      <c r="K311" s="6">
        <f>J311/J321</f>
        <v>2.7649769585253458E-2</v>
      </c>
      <c r="L311" s="8">
        <f>12/$L$3</f>
        <v>2.7649769585253458E-2</v>
      </c>
      <c r="N311">
        <v>6</v>
      </c>
      <c r="O311" s="6">
        <f>N311/N321</f>
        <v>7.407407407407407E-2</v>
      </c>
      <c r="P311" s="6">
        <f>6/$P$3</f>
        <v>7.407407407407407E-2</v>
      </c>
      <c r="R311">
        <v>75</v>
      </c>
      <c r="S311" s="6">
        <f>R311/R321</f>
        <v>0.13392857142857142</v>
      </c>
      <c r="T311" s="6">
        <f>75/$T$3</f>
        <v>0.13392857142857142</v>
      </c>
      <c r="V311">
        <v>66</v>
      </c>
      <c r="W311" s="6">
        <f>V311/V321</f>
        <v>0.12222222222222222</v>
      </c>
      <c r="X311" s="6">
        <f>66/$X$3</f>
        <v>0.12222222222222222</v>
      </c>
      <c r="Z311">
        <v>5</v>
      </c>
      <c r="AA311" s="6">
        <f>Z311/Z321</f>
        <v>4.4247787610619468E-2</v>
      </c>
      <c r="AB311" s="8">
        <f>5/$AB$3</f>
        <v>4.4247787610619468E-2</v>
      </c>
      <c r="AD311">
        <v>21</v>
      </c>
      <c r="AE311" s="6">
        <f>AD311/AD321</f>
        <v>0.10606060606060606</v>
      </c>
      <c r="AF311" s="6">
        <f>21/$AF$3</f>
        <v>0.10606060606060606</v>
      </c>
      <c r="AH311">
        <v>29</v>
      </c>
      <c r="AI311" s="6">
        <f>AH311/AH321</f>
        <v>0.11740890688259109</v>
      </c>
      <c r="AJ311" s="6">
        <f>29/$AJ$3</f>
        <v>0.11740890688259109</v>
      </c>
      <c r="AL311">
        <v>29</v>
      </c>
      <c r="AM311" s="6">
        <f>AL311/AL321</f>
        <v>0.125</v>
      </c>
      <c r="AN311" s="6">
        <f>29/$AN$3</f>
        <v>0.125</v>
      </c>
      <c r="AO311" s="7"/>
      <c r="AP311">
        <v>35</v>
      </c>
      <c r="AQ311" s="6">
        <f>AP311/AP321</f>
        <v>0.18817204301075269</v>
      </c>
      <c r="AR311" s="9">
        <f>35/$AR$3</f>
        <v>0.18817204301075269</v>
      </c>
      <c r="AS311" s="7"/>
      <c r="AT311">
        <v>22</v>
      </c>
      <c r="AU311" s="6">
        <f>AT311/AT321</f>
        <v>0.17741935483870969</v>
      </c>
      <c r="AV311" s="6">
        <f>22/$AV$3</f>
        <v>0.17741935483870969</v>
      </c>
      <c r="AW311" s="7"/>
      <c r="AX311">
        <v>46</v>
      </c>
      <c r="AY311" s="6">
        <f>AX311/AX321</f>
        <v>0.10697674418604651</v>
      </c>
      <c r="AZ311" s="6">
        <f>46/$AZ$3</f>
        <v>0.10697674418604651</v>
      </c>
      <c r="BB311">
        <v>53</v>
      </c>
      <c r="BC311" s="6">
        <f>BB311/BB321</f>
        <v>0.12383177570093458</v>
      </c>
      <c r="BD311" s="6">
        <f>53/$BD$3</f>
        <v>0.12383177570093458</v>
      </c>
      <c r="BF311">
        <v>42</v>
      </c>
      <c r="BG311" s="6">
        <f>BF311/BF321</f>
        <v>0.17355371900826447</v>
      </c>
      <c r="BH311" s="6">
        <f>42/$BH$3</f>
        <v>0.17355371900826447</v>
      </c>
      <c r="BJ311">
        <v>56</v>
      </c>
      <c r="BK311" s="6">
        <f>BJ311/BJ321</f>
        <v>0.13895781637717122</v>
      </c>
      <c r="BL311" s="6">
        <f>56/$BL$3</f>
        <v>0.13895781637717122</v>
      </c>
      <c r="BN311">
        <v>50</v>
      </c>
      <c r="BO311" s="6">
        <f>BN311/BN321</f>
        <v>0.1182033096926714</v>
      </c>
      <c r="BP311" s="6">
        <f>50/$BP$3</f>
        <v>0.1182033096926714</v>
      </c>
      <c r="BR311">
        <v>35</v>
      </c>
      <c r="BS311" s="6">
        <f>BR311/BR321</f>
        <v>0.12773722627737227</v>
      </c>
      <c r="BT311" s="6">
        <f>35/$BT$3</f>
        <v>0.12773722627737227</v>
      </c>
      <c r="BV311">
        <v>38</v>
      </c>
      <c r="BW311" s="6">
        <f>BV311/BV321</f>
        <v>0.12459016393442623</v>
      </c>
      <c r="BX311" s="6">
        <f>38/$BX$3</f>
        <v>0.12459016393442623</v>
      </c>
      <c r="BZ311">
        <v>27</v>
      </c>
      <c r="CA311" s="6">
        <f>BZ311/BZ321</f>
        <v>0.12053571428571429</v>
      </c>
      <c r="CB311" s="6">
        <f>27/$CB$3</f>
        <v>0.12053571428571429</v>
      </c>
      <c r="CD311">
        <v>34</v>
      </c>
      <c r="CE311" s="6">
        <f>CD311/CD321</f>
        <v>0.14107883817427386</v>
      </c>
      <c r="CF311" s="6">
        <f>34/$CF$3</f>
        <v>0.14107883817427386</v>
      </c>
      <c r="CH311">
        <v>42</v>
      </c>
      <c r="CI311" s="6">
        <f>CH311/CH321</f>
        <v>0.12727272727272726</v>
      </c>
      <c r="CJ311" s="6">
        <f>42/$CJ$3</f>
        <v>0.12727272727272726</v>
      </c>
    </row>
    <row r="312" spans="1:88" x14ac:dyDescent="0.35">
      <c r="A312" s="1" t="s">
        <v>618</v>
      </c>
      <c r="B312">
        <v>213</v>
      </c>
      <c r="C312" s="6">
        <f>B312/B321</f>
        <v>0.19363636363636363</v>
      </c>
      <c r="D312" s="6">
        <f>213/$D$3</f>
        <v>0.19363636363636363</v>
      </c>
      <c r="F312">
        <v>134</v>
      </c>
      <c r="G312" s="6">
        <f>F312/F321</f>
        <v>0.14709110867178923</v>
      </c>
      <c r="H312" s="6">
        <f>134/$H$3</f>
        <v>0.14709110867178923</v>
      </c>
      <c r="J312">
        <v>31</v>
      </c>
      <c r="K312" s="6">
        <f>J312/J321</f>
        <v>7.1428571428571425E-2</v>
      </c>
      <c r="L312" s="8">
        <f>31/$L$3</f>
        <v>7.1428571428571425E-2</v>
      </c>
      <c r="N312">
        <v>11</v>
      </c>
      <c r="O312" s="6">
        <f>N312/N321</f>
        <v>0.13580246913580246</v>
      </c>
      <c r="P312" s="6">
        <f>11/$P$3</f>
        <v>0.13580246913580246</v>
      </c>
      <c r="R312">
        <v>114</v>
      </c>
      <c r="S312" s="6">
        <f>R312/R321</f>
        <v>0.20357142857142857</v>
      </c>
      <c r="T312" s="6">
        <f>114/$T$3</f>
        <v>0.20357142857142857</v>
      </c>
      <c r="V312">
        <v>99</v>
      </c>
      <c r="W312" s="6">
        <f>V312/V321</f>
        <v>0.18333333333333332</v>
      </c>
      <c r="X312" s="6">
        <f>99/$X$3</f>
        <v>0.18333333333333332</v>
      </c>
      <c r="Z312">
        <v>9</v>
      </c>
      <c r="AA312" s="6">
        <f>Z312/Z321</f>
        <v>7.9646017699115043E-2</v>
      </c>
      <c r="AB312" s="8">
        <f>9/$AB$3</f>
        <v>7.9646017699115043E-2</v>
      </c>
      <c r="AD312">
        <v>27</v>
      </c>
      <c r="AE312" s="6">
        <f>AD312/AD321</f>
        <v>0.13636363636363635</v>
      </c>
      <c r="AF312" s="8">
        <f>27/$AF$3</f>
        <v>0.13636363636363635</v>
      </c>
      <c r="AH312">
        <v>35</v>
      </c>
      <c r="AI312" s="6">
        <f>AH312/AH321</f>
        <v>0.1417004048582996</v>
      </c>
      <c r="AJ312" s="8">
        <f>35/$AJ$3</f>
        <v>0.1417004048582996</v>
      </c>
      <c r="AL312">
        <v>39</v>
      </c>
      <c r="AM312" s="6">
        <f>AL312/AL321</f>
        <v>0.16810344827586207</v>
      </c>
      <c r="AN312" s="6">
        <f>39/$AN$3</f>
        <v>0.16810344827586207</v>
      </c>
      <c r="AP312">
        <v>62</v>
      </c>
      <c r="AQ312" s="6">
        <f>AP312/AP321</f>
        <v>0.33333333333333331</v>
      </c>
      <c r="AR312" s="9">
        <f>62/$AR$3</f>
        <v>0.33333333333333331</v>
      </c>
      <c r="AS312" s="7"/>
      <c r="AT312">
        <v>41</v>
      </c>
      <c r="AU312" s="6">
        <f>AT312/AT321</f>
        <v>0.33064516129032256</v>
      </c>
      <c r="AV312" s="9">
        <f>41/$AV$3</f>
        <v>0.33064516129032256</v>
      </c>
      <c r="AW312" s="7"/>
      <c r="AX312">
        <v>73</v>
      </c>
      <c r="AY312" s="6">
        <f>AX312/AX321</f>
        <v>0.16976744186046511</v>
      </c>
      <c r="AZ312" s="6">
        <f>73/$AZ$3</f>
        <v>0.16976744186046511</v>
      </c>
      <c r="BB312">
        <v>75</v>
      </c>
      <c r="BC312" s="6">
        <f>BB312/BB321</f>
        <v>0.17523364485981308</v>
      </c>
      <c r="BD312" s="6">
        <f>75/$BD$3</f>
        <v>0.17523364485981308</v>
      </c>
      <c r="BF312">
        <v>65</v>
      </c>
      <c r="BG312" s="6">
        <f>BF312/BF321</f>
        <v>0.26859504132231404</v>
      </c>
      <c r="BH312" s="9">
        <f>65/$BH$3</f>
        <v>0.26859504132231404</v>
      </c>
      <c r="BI312" s="7" t="s">
        <v>408</v>
      </c>
      <c r="BJ312">
        <v>78</v>
      </c>
      <c r="BK312" s="6">
        <f>BJ312/BJ321</f>
        <v>0.19354838709677419</v>
      </c>
      <c r="BL312" s="6">
        <f>78/$BL$3</f>
        <v>0.19354838709677419</v>
      </c>
      <c r="BN312">
        <v>82</v>
      </c>
      <c r="BO312" s="6">
        <f>BN312/BN321</f>
        <v>0.19385342789598109</v>
      </c>
      <c r="BP312" s="6">
        <f>82/$BP$3</f>
        <v>0.19385342789598109</v>
      </c>
      <c r="BR312">
        <v>53</v>
      </c>
      <c r="BS312" s="6">
        <f>BR312/BR321</f>
        <v>0.19343065693430658</v>
      </c>
      <c r="BT312" s="6">
        <f>53/$BT$3</f>
        <v>0.19343065693430658</v>
      </c>
      <c r="BV312">
        <v>56</v>
      </c>
      <c r="BW312" s="6">
        <f>BV312/BV321</f>
        <v>0.18360655737704917</v>
      </c>
      <c r="BX312" s="6">
        <f>56/$BX$3</f>
        <v>0.18360655737704917</v>
      </c>
      <c r="BZ312">
        <v>35</v>
      </c>
      <c r="CA312" s="6">
        <f>BZ312/BZ321</f>
        <v>0.15625</v>
      </c>
      <c r="CB312" s="6">
        <f>35/$CB$3</f>
        <v>0.15625</v>
      </c>
      <c r="CD312">
        <v>51</v>
      </c>
      <c r="CE312" s="6">
        <f>CD312/CD321</f>
        <v>0.21161825726141079</v>
      </c>
      <c r="CF312" s="6">
        <f>51/$CF$3</f>
        <v>0.21161825726141079</v>
      </c>
      <c r="CH312">
        <v>71</v>
      </c>
      <c r="CI312" s="6">
        <f>CH312/CH321</f>
        <v>0.21515151515151515</v>
      </c>
      <c r="CJ312" s="6">
        <f>71/$CJ$3</f>
        <v>0.21515151515151515</v>
      </c>
    </row>
    <row r="313" spans="1:88" x14ac:dyDescent="0.35">
      <c r="A313" s="1" t="s">
        <v>619</v>
      </c>
      <c r="B313">
        <v>192</v>
      </c>
      <c r="C313" s="6">
        <f>B313/B321</f>
        <v>0.17454545454545456</v>
      </c>
      <c r="D313" s="6">
        <f>192/$D$3</f>
        <v>0.17454545454545456</v>
      </c>
      <c r="F313">
        <v>118</v>
      </c>
      <c r="G313" s="6">
        <f>F313/F321</f>
        <v>0.12952799121844127</v>
      </c>
      <c r="H313" s="6">
        <f>118/$H$3</f>
        <v>0.12952799121844127</v>
      </c>
      <c r="J313">
        <v>32</v>
      </c>
      <c r="K313" s="6">
        <f>J313/J321</f>
        <v>7.3732718894009217E-2</v>
      </c>
      <c r="L313" s="8">
        <f>32/$L$3</f>
        <v>7.3732718894009217E-2</v>
      </c>
      <c r="N313">
        <v>11</v>
      </c>
      <c r="O313" s="6">
        <f>N313/N321</f>
        <v>0.13580246913580246</v>
      </c>
      <c r="P313" s="6">
        <f>11/$P$3</f>
        <v>0.13580246913580246</v>
      </c>
      <c r="R313">
        <v>101</v>
      </c>
      <c r="S313" s="6">
        <f>R313/R321</f>
        <v>0.18035714285714285</v>
      </c>
      <c r="T313" s="6">
        <f>101/$T$3</f>
        <v>0.18035714285714285</v>
      </c>
      <c r="V313">
        <v>91</v>
      </c>
      <c r="W313" s="6">
        <f>V313/V321</f>
        <v>0.16851851851851851</v>
      </c>
      <c r="X313" s="6">
        <f>91/$X$3</f>
        <v>0.16851851851851851</v>
      </c>
      <c r="Z313">
        <v>7</v>
      </c>
      <c r="AA313" s="6">
        <f>Z313/Z321</f>
        <v>6.1946902654867256E-2</v>
      </c>
      <c r="AB313" s="8">
        <f>7/$AB$3</f>
        <v>6.1946902654867256E-2</v>
      </c>
      <c r="AD313">
        <v>21</v>
      </c>
      <c r="AE313" s="6">
        <f>AD313/AD321</f>
        <v>0.10606060606060606</v>
      </c>
      <c r="AF313" s="8">
        <f>21/$AF$3</f>
        <v>0.10606060606060606</v>
      </c>
      <c r="AH313">
        <v>39</v>
      </c>
      <c r="AI313" s="6">
        <f>AH313/AH321</f>
        <v>0.15789473684210525</v>
      </c>
      <c r="AJ313" s="6">
        <f>39/$AJ$3</f>
        <v>0.15789473684210525</v>
      </c>
      <c r="AK313" s="7"/>
      <c r="AL313">
        <v>40</v>
      </c>
      <c r="AM313" s="6">
        <f>AL313/AL321</f>
        <v>0.17241379310344829</v>
      </c>
      <c r="AN313" s="6">
        <f>40/$AN$3</f>
        <v>0.17241379310344829</v>
      </c>
      <c r="AO313" s="7"/>
      <c r="AP313">
        <v>52</v>
      </c>
      <c r="AQ313" s="6">
        <f>AP313/AP321</f>
        <v>0.27956989247311825</v>
      </c>
      <c r="AR313" s="9">
        <f>52/$AR$3</f>
        <v>0.27956989247311825</v>
      </c>
      <c r="AS313" s="7"/>
      <c r="AT313">
        <v>33</v>
      </c>
      <c r="AU313" s="6">
        <f>AT313/AT321</f>
        <v>0.2661290322580645</v>
      </c>
      <c r="AV313" s="9">
        <f>33/$AV$3</f>
        <v>0.2661290322580645</v>
      </c>
      <c r="AW313" s="7"/>
      <c r="AX313">
        <v>73</v>
      </c>
      <c r="AY313" s="6">
        <f>AX313/AX321</f>
        <v>0.16976744186046511</v>
      </c>
      <c r="AZ313" s="6">
        <f>73/$AZ$3</f>
        <v>0.16976744186046511</v>
      </c>
      <c r="BB313">
        <v>68</v>
      </c>
      <c r="BC313" s="6">
        <f>BB313/BB321</f>
        <v>0.15887850467289719</v>
      </c>
      <c r="BD313" s="6">
        <f>68/$BD$3</f>
        <v>0.15887850467289719</v>
      </c>
      <c r="BF313">
        <v>51</v>
      </c>
      <c r="BG313" s="6">
        <f>BF313/BF321</f>
        <v>0.21074380165289255</v>
      </c>
      <c r="BH313" s="6">
        <f>51/$BH$3</f>
        <v>0.21074380165289255</v>
      </c>
      <c r="BJ313">
        <v>72</v>
      </c>
      <c r="BK313" s="6">
        <f>BJ313/BJ321</f>
        <v>0.17866004962779156</v>
      </c>
      <c r="BL313" s="6">
        <f>72/$BL$3</f>
        <v>0.17866004962779156</v>
      </c>
      <c r="BN313">
        <v>75</v>
      </c>
      <c r="BO313" s="6">
        <f>BN313/BN321</f>
        <v>0.1773049645390071</v>
      </c>
      <c r="BP313" s="6">
        <f>75/$BP$3</f>
        <v>0.1773049645390071</v>
      </c>
      <c r="BR313">
        <v>45</v>
      </c>
      <c r="BS313" s="6">
        <f>BR313/BR321</f>
        <v>0.16423357664233576</v>
      </c>
      <c r="BT313" s="6">
        <f>45/$BT$3</f>
        <v>0.16423357664233576</v>
      </c>
      <c r="BV313">
        <v>54</v>
      </c>
      <c r="BW313" s="6">
        <f>BV313/BV321</f>
        <v>0.17704918032786884</v>
      </c>
      <c r="BX313" s="6">
        <f>54/$BX$3</f>
        <v>0.17704918032786884</v>
      </c>
      <c r="BZ313">
        <v>33</v>
      </c>
      <c r="CA313" s="6">
        <f>BZ313/BZ321</f>
        <v>0.14732142857142858</v>
      </c>
      <c r="CB313" s="6">
        <f>33/$CB$3</f>
        <v>0.14732142857142858</v>
      </c>
      <c r="CD313">
        <v>46</v>
      </c>
      <c r="CE313" s="6">
        <f>CD313/CD321</f>
        <v>0.1908713692946058</v>
      </c>
      <c r="CF313" s="6">
        <f>46/$CF$3</f>
        <v>0.1908713692946058</v>
      </c>
      <c r="CH313">
        <v>59</v>
      </c>
      <c r="CI313" s="6">
        <f>CH313/CH321</f>
        <v>0.1787878787878788</v>
      </c>
      <c r="CJ313" s="6">
        <f>59/$CJ$3</f>
        <v>0.1787878787878788</v>
      </c>
    </row>
    <row r="314" spans="1:88" x14ac:dyDescent="0.35">
      <c r="A314" s="1" t="s">
        <v>620</v>
      </c>
      <c r="B314">
        <v>152</v>
      </c>
      <c r="C314" s="6">
        <f>B314/B321</f>
        <v>0.13818181818181818</v>
      </c>
      <c r="D314" s="6">
        <f>152/$D$3</f>
        <v>0.13818181818181818</v>
      </c>
      <c r="F314">
        <v>89</v>
      </c>
      <c r="G314" s="6">
        <f>F314/F321</f>
        <v>9.7694840834248078E-2</v>
      </c>
      <c r="H314" s="6">
        <f>89/$H$3</f>
        <v>9.7694840834248078E-2</v>
      </c>
      <c r="J314">
        <v>17</v>
      </c>
      <c r="K314" s="6">
        <f>J314/J321</f>
        <v>3.9170506912442393E-2</v>
      </c>
      <c r="L314" s="8">
        <f>17/$L$3</f>
        <v>3.9170506912442393E-2</v>
      </c>
      <c r="N314">
        <v>5</v>
      </c>
      <c r="O314" s="6">
        <f>N314/N321</f>
        <v>6.1728395061728392E-2</v>
      </c>
      <c r="P314" s="8">
        <f>5/$P$3</f>
        <v>6.1728395061728392E-2</v>
      </c>
      <c r="R314">
        <v>75</v>
      </c>
      <c r="S314" s="6">
        <f>R314/R321</f>
        <v>0.13392857142857142</v>
      </c>
      <c r="T314" s="6">
        <f>75/$T$3</f>
        <v>0.13392857142857142</v>
      </c>
      <c r="V314">
        <v>77</v>
      </c>
      <c r="W314" s="6">
        <f>V314/V321</f>
        <v>0.1425925925925926</v>
      </c>
      <c r="X314" s="6">
        <f>77/$X$3</f>
        <v>0.1425925925925926</v>
      </c>
      <c r="Z314">
        <v>5</v>
      </c>
      <c r="AA314" s="6">
        <f>Z314/Z321</f>
        <v>4.4247787610619468E-2</v>
      </c>
      <c r="AB314" s="8">
        <f>5/$AB$3</f>
        <v>4.4247787610619468E-2</v>
      </c>
      <c r="AD314">
        <v>21</v>
      </c>
      <c r="AE314" s="6">
        <f>AD314/AD321</f>
        <v>0.10606060606060606</v>
      </c>
      <c r="AF314" s="6">
        <f>21/$AF$3</f>
        <v>0.10606060606060606</v>
      </c>
      <c r="AH314">
        <v>29</v>
      </c>
      <c r="AI314" s="6">
        <f>AH314/AH321</f>
        <v>0.11740890688259109</v>
      </c>
      <c r="AJ314" s="6">
        <f>29/$AJ$3</f>
        <v>0.11740890688259109</v>
      </c>
      <c r="AL314">
        <v>29</v>
      </c>
      <c r="AM314" s="6">
        <f>AL314/AL321</f>
        <v>0.125</v>
      </c>
      <c r="AN314" s="6">
        <f>29/$AN$3</f>
        <v>0.125</v>
      </c>
      <c r="AO314" s="7"/>
      <c r="AP314">
        <v>41</v>
      </c>
      <c r="AQ314" s="6">
        <f>AP314/AP321</f>
        <v>0.22043010752688172</v>
      </c>
      <c r="AR314" s="9">
        <f>41/$AR$3</f>
        <v>0.22043010752688172</v>
      </c>
      <c r="AS314" s="7"/>
      <c r="AT314">
        <v>27</v>
      </c>
      <c r="AU314" s="6">
        <f>AT314/AT321</f>
        <v>0.21774193548387097</v>
      </c>
      <c r="AV314" s="9">
        <f>27/$AV$3</f>
        <v>0.21774193548387097</v>
      </c>
      <c r="AW314" s="7"/>
      <c r="AX314">
        <v>53</v>
      </c>
      <c r="AY314" s="6">
        <f>AX314/AX321</f>
        <v>0.12325581395348838</v>
      </c>
      <c r="AZ314" s="6">
        <f>53/$AZ$3</f>
        <v>0.12325581395348838</v>
      </c>
      <c r="BB314">
        <v>53</v>
      </c>
      <c r="BC314" s="6">
        <f>BB314/BB321</f>
        <v>0.12383177570093458</v>
      </c>
      <c r="BD314" s="6">
        <f>53/$BD$3</f>
        <v>0.12383177570093458</v>
      </c>
      <c r="BF314">
        <v>46</v>
      </c>
      <c r="BG314" s="6">
        <f>BF314/BF321</f>
        <v>0.19008264462809918</v>
      </c>
      <c r="BH314" s="9">
        <f>46/$BH$3</f>
        <v>0.19008264462809918</v>
      </c>
      <c r="BJ314">
        <v>57</v>
      </c>
      <c r="BK314" s="6">
        <f>BJ314/BJ321</f>
        <v>0.14143920595533499</v>
      </c>
      <c r="BL314" s="6">
        <f>57/$BL$3</f>
        <v>0.14143920595533499</v>
      </c>
      <c r="BN314">
        <v>59</v>
      </c>
      <c r="BO314" s="6">
        <f>BN314/BN321</f>
        <v>0.13947990543735225</v>
      </c>
      <c r="BP314" s="6">
        <f>59/$BP$3</f>
        <v>0.13947990543735225</v>
      </c>
      <c r="BR314">
        <v>36</v>
      </c>
      <c r="BS314" s="6">
        <f>BR314/BR321</f>
        <v>0.13138686131386862</v>
      </c>
      <c r="BT314" s="6">
        <f>36/$BT$3</f>
        <v>0.13138686131386862</v>
      </c>
      <c r="BV314">
        <v>43</v>
      </c>
      <c r="BW314" s="6">
        <f>BV314/BV321</f>
        <v>0.14098360655737704</v>
      </c>
      <c r="BX314" s="6">
        <f>43/$BX$3</f>
        <v>0.14098360655737704</v>
      </c>
      <c r="BZ314">
        <v>28</v>
      </c>
      <c r="CA314" s="6">
        <f>BZ314/BZ321</f>
        <v>0.125</v>
      </c>
      <c r="CB314" s="6">
        <f>28/$CB$3</f>
        <v>0.125</v>
      </c>
      <c r="CD314">
        <v>34</v>
      </c>
      <c r="CE314" s="6">
        <f>CD314/CD321</f>
        <v>0.14107883817427386</v>
      </c>
      <c r="CF314" s="6">
        <f>34/$CF$3</f>
        <v>0.14107883817427386</v>
      </c>
      <c r="CH314">
        <v>47</v>
      </c>
      <c r="CI314" s="6">
        <f>CH314/CH321</f>
        <v>0.14242424242424243</v>
      </c>
      <c r="CJ314" s="6">
        <f>47/$CJ$3</f>
        <v>0.14242424242424243</v>
      </c>
    </row>
    <row r="315" spans="1:88" x14ac:dyDescent="0.35">
      <c r="A315" s="1" t="s">
        <v>621</v>
      </c>
      <c r="B315">
        <v>173</v>
      </c>
      <c r="C315" s="6">
        <f>B315/B321</f>
        <v>0.15727272727272729</v>
      </c>
      <c r="D315" s="6">
        <f>173/$D$3</f>
        <v>0.15727272727272729</v>
      </c>
      <c r="F315">
        <v>101</v>
      </c>
      <c r="G315" s="6">
        <f>F315/F321</f>
        <v>0.11086717892425905</v>
      </c>
      <c r="H315" s="6">
        <f>101/$H$3</f>
        <v>0.11086717892425905</v>
      </c>
      <c r="J315">
        <v>17</v>
      </c>
      <c r="K315" s="6">
        <f>J315/J321</f>
        <v>3.9170506912442393E-2</v>
      </c>
      <c r="L315" s="8">
        <f>17/$L$3</f>
        <v>3.9170506912442393E-2</v>
      </c>
      <c r="N315">
        <v>6</v>
      </c>
      <c r="O315" s="6">
        <f>N315/N321</f>
        <v>7.407407407407407E-2</v>
      </c>
      <c r="P315" s="8">
        <f>6/$P$3</f>
        <v>7.407407407407407E-2</v>
      </c>
      <c r="R315">
        <v>94</v>
      </c>
      <c r="S315" s="6">
        <f>R315/R321</f>
        <v>0.16785714285714284</v>
      </c>
      <c r="T315" s="6">
        <f>94/$T$3</f>
        <v>0.16785714285714284</v>
      </c>
      <c r="V315">
        <v>79</v>
      </c>
      <c r="W315" s="6">
        <f>V315/V321</f>
        <v>0.14629629629629629</v>
      </c>
      <c r="X315" s="6">
        <f>79/$X$3</f>
        <v>0.14629629629629629</v>
      </c>
      <c r="Z315">
        <v>7</v>
      </c>
      <c r="AA315" s="6">
        <f>Z315/Z321</f>
        <v>6.1946902654867256E-2</v>
      </c>
      <c r="AB315" s="8">
        <f>7/$AB$3</f>
        <v>6.1946902654867256E-2</v>
      </c>
      <c r="AD315">
        <v>26</v>
      </c>
      <c r="AE315" s="6">
        <f>AD315/AD321</f>
        <v>0.13131313131313133</v>
      </c>
      <c r="AF315" s="6">
        <f>26/$AF$3</f>
        <v>0.13131313131313133</v>
      </c>
      <c r="AH315">
        <v>34</v>
      </c>
      <c r="AI315" s="6">
        <f>AH315/AH321</f>
        <v>0.13765182186234817</v>
      </c>
      <c r="AJ315" s="6">
        <f>34/$AJ$3</f>
        <v>0.13765182186234817</v>
      </c>
      <c r="AL315">
        <v>31</v>
      </c>
      <c r="AM315" s="6">
        <f>AL315/AL321</f>
        <v>0.1336206896551724</v>
      </c>
      <c r="AN315" s="6">
        <f>31/$AN$3</f>
        <v>0.1336206896551724</v>
      </c>
      <c r="AP315">
        <v>46</v>
      </c>
      <c r="AQ315" s="6">
        <f>AP315/AP321</f>
        <v>0.24731182795698925</v>
      </c>
      <c r="AR315" s="9">
        <f>46/$AR$3</f>
        <v>0.24731182795698925</v>
      </c>
      <c r="AS315" s="7"/>
      <c r="AT315">
        <v>29</v>
      </c>
      <c r="AU315" s="6">
        <f>AT315/AT321</f>
        <v>0.23387096774193547</v>
      </c>
      <c r="AV315" s="9">
        <f>29/$AV$3</f>
        <v>0.23387096774193547</v>
      </c>
      <c r="AW315" s="7"/>
      <c r="AX315">
        <v>57</v>
      </c>
      <c r="AY315" s="6">
        <f>AX315/AX321</f>
        <v>0.13255813953488371</v>
      </c>
      <c r="AZ315" s="6">
        <f>57/$AZ$3</f>
        <v>0.13255813953488371</v>
      </c>
      <c r="BB315">
        <v>64</v>
      </c>
      <c r="BC315" s="6">
        <f>BB315/BB321</f>
        <v>0.14953271028037382</v>
      </c>
      <c r="BD315" s="6">
        <f>64/$BD$3</f>
        <v>0.14953271028037382</v>
      </c>
      <c r="BF315">
        <v>52</v>
      </c>
      <c r="BG315" s="6">
        <f>BF315/BF321</f>
        <v>0.21487603305785125</v>
      </c>
      <c r="BH315" s="9">
        <f>52/$BH$3</f>
        <v>0.21487603305785125</v>
      </c>
      <c r="BJ315">
        <v>61</v>
      </c>
      <c r="BK315" s="6">
        <f>BJ315/BJ321</f>
        <v>0.15136476426799009</v>
      </c>
      <c r="BL315" s="6">
        <f>61/$BL$3</f>
        <v>0.15136476426799009</v>
      </c>
      <c r="BN315">
        <v>71</v>
      </c>
      <c r="BO315" s="6">
        <f>BN315/BN321</f>
        <v>0.16784869976359337</v>
      </c>
      <c r="BP315" s="6">
        <f>71/$BP$3</f>
        <v>0.16784869976359337</v>
      </c>
      <c r="BR315">
        <v>41</v>
      </c>
      <c r="BS315" s="6">
        <f>BR315/BR321</f>
        <v>0.14963503649635038</v>
      </c>
      <c r="BT315" s="6">
        <f>41/$BT$3</f>
        <v>0.14963503649635038</v>
      </c>
      <c r="BV315">
        <v>46</v>
      </c>
      <c r="BW315" s="6">
        <f>BV315/BV321</f>
        <v>0.15081967213114755</v>
      </c>
      <c r="BX315" s="6">
        <f>46/$BX$3</f>
        <v>0.15081967213114755</v>
      </c>
      <c r="BZ315">
        <v>27</v>
      </c>
      <c r="CA315" s="6">
        <f>BZ315/BZ321</f>
        <v>0.12053571428571429</v>
      </c>
      <c r="CB315" s="6">
        <f>27/$CB$3</f>
        <v>0.12053571428571429</v>
      </c>
      <c r="CD315">
        <v>45</v>
      </c>
      <c r="CE315" s="6">
        <f>CD315/CD321</f>
        <v>0.18672199170124482</v>
      </c>
      <c r="CF315" s="6">
        <f>45/$CF$3</f>
        <v>0.18672199170124482</v>
      </c>
      <c r="CH315">
        <v>55</v>
      </c>
      <c r="CI315" s="6">
        <f>CH315/CH321</f>
        <v>0.16666666666666666</v>
      </c>
      <c r="CJ315" s="6">
        <f>55/$CJ$3</f>
        <v>0.16666666666666666</v>
      </c>
    </row>
    <row r="316" spans="1:88" x14ac:dyDescent="0.35">
      <c r="A316" s="1" t="s">
        <v>622</v>
      </c>
      <c r="B316">
        <v>206</v>
      </c>
      <c r="C316" s="6">
        <f>B316/B321</f>
        <v>0.18727272727272729</v>
      </c>
      <c r="D316" s="6">
        <f>206/$D$3</f>
        <v>0.18727272727272729</v>
      </c>
      <c r="F316">
        <v>133</v>
      </c>
      <c r="G316" s="6">
        <f>F316/F321</f>
        <v>0.14599341383095499</v>
      </c>
      <c r="H316" s="6">
        <f>133/$H$3</f>
        <v>0.14599341383095499</v>
      </c>
      <c r="J316">
        <v>38</v>
      </c>
      <c r="K316" s="6">
        <f>J316/J321</f>
        <v>8.755760368663594E-2</v>
      </c>
      <c r="L316" s="8">
        <f>38/$L$3</f>
        <v>8.755760368663594E-2</v>
      </c>
      <c r="N316">
        <v>11</v>
      </c>
      <c r="O316" s="6">
        <f>N316/N321</f>
        <v>0.13580246913580246</v>
      </c>
      <c r="P316" s="6">
        <f>11/$P$3</f>
        <v>0.13580246913580246</v>
      </c>
      <c r="R316">
        <v>110</v>
      </c>
      <c r="S316" s="6">
        <f>R316/R321</f>
        <v>0.19642857142857142</v>
      </c>
      <c r="T316" s="6">
        <f>110/$T$3</f>
        <v>0.19642857142857142</v>
      </c>
      <c r="V316">
        <v>96</v>
      </c>
      <c r="W316" s="6">
        <f>V316/V321</f>
        <v>0.17777777777777778</v>
      </c>
      <c r="X316" s="6">
        <f>96/$X$3</f>
        <v>0.17777777777777778</v>
      </c>
      <c r="Z316">
        <v>8</v>
      </c>
      <c r="AA316" s="6">
        <f>Z316/Z321</f>
        <v>7.0796460176991149E-2</v>
      </c>
      <c r="AB316" s="8">
        <f>8/$AB$3</f>
        <v>7.0796460176991149E-2</v>
      </c>
      <c r="AD316">
        <v>24</v>
      </c>
      <c r="AE316" s="6">
        <f>AD316/AD321</f>
        <v>0.12121212121212122</v>
      </c>
      <c r="AF316" s="8">
        <f>24/$AF$3</f>
        <v>0.12121212121212122</v>
      </c>
      <c r="AH316">
        <v>43</v>
      </c>
      <c r="AI316" s="6">
        <f>AH316/AH321</f>
        <v>0.17408906882591094</v>
      </c>
      <c r="AJ316" s="6">
        <f>43/$AJ$3</f>
        <v>0.17408906882591094</v>
      </c>
      <c r="AK316" s="7"/>
      <c r="AL316">
        <v>40</v>
      </c>
      <c r="AM316" s="6">
        <f>AL316/AL321</f>
        <v>0.17241379310344829</v>
      </c>
      <c r="AN316" s="6">
        <f>40/$AN$3</f>
        <v>0.17241379310344829</v>
      </c>
      <c r="AO316" s="7"/>
      <c r="AP316">
        <v>54</v>
      </c>
      <c r="AQ316" s="6">
        <f>AP316/AP321</f>
        <v>0.29032258064516131</v>
      </c>
      <c r="AR316" s="9">
        <f>54/$AR$3</f>
        <v>0.29032258064516131</v>
      </c>
      <c r="AS316" s="7"/>
      <c r="AT316">
        <v>37</v>
      </c>
      <c r="AU316" s="6">
        <f>AT316/AT321</f>
        <v>0.29838709677419356</v>
      </c>
      <c r="AV316" s="9">
        <f>37/$AV$3</f>
        <v>0.29838709677419356</v>
      </c>
      <c r="AW316" s="7"/>
      <c r="AX316">
        <v>74</v>
      </c>
      <c r="AY316" s="6">
        <f>AX316/AX321</f>
        <v>0.17209302325581396</v>
      </c>
      <c r="AZ316" s="6">
        <f>74/$AZ$3</f>
        <v>0.17209302325581396</v>
      </c>
      <c r="BB316">
        <v>77</v>
      </c>
      <c r="BC316" s="6">
        <f>BB316/BB321</f>
        <v>0.17990654205607476</v>
      </c>
      <c r="BD316" s="6">
        <f>77/$BD$3</f>
        <v>0.17990654205607476</v>
      </c>
      <c r="BF316">
        <v>55</v>
      </c>
      <c r="BG316" s="6">
        <f>BF316/BF321</f>
        <v>0.22727272727272727</v>
      </c>
      <c r="BH316" s="6">
        <f>55/$BH$3</f>
        <v>0.22727272727272727</v>
      </c>
      <c r="BJ316">
        <v>76</v>
      </c>
      <c r="BK316" s="6">
        <f>BJ316/BJ321</f>
        <v>0.18858560794044665</v>
      </c>
      <c r="BL316" s="6">
        <f>76/$BL$3</f>
        <v>0.18858560794044665</v>
      </c>
      <c r="BN316">
        <v>82</v>
      </c>
      <c r="BO316" s="6">
        <f>BN316/BN321</f>
        <v>0.19385342789598109</v>
      </c>
      <c r="BP316" s="6">
        <f>82/$BP$3</f>
        <v>0.19385342789598109</v>
      </c>
      <c r="BR316">
        <v>48</v>
      </c>
      <c r="BS316" s="6">
        <f>BR316/BR321</f>
        <v>0.17518248175182483</v>
      </c>
      <c r="BT316" s="6">
        <f>48/$BT$3</f>
        <v>0.17518248175182483</v>
      </c>
      <c r="BV316">
        <v>59</v>
      </c>
      <c r="BW316" s="6">
        <f>BV316/BV321</f>
        <v>0.19344262295081968</v>
      </c>
      <c r="BX316" s="6">
        <f>59/$BX$3</f>
        <v>0.19344262295081968</v>
      </c>
      <c r="BZ316">
        <v>40</v>
      </c>
      <c r="CA316" s="6">
        <f>BZ316/BZ321</f>
        <v>0.17857142857142858</v>
      </c>
      <c r="CB316" s="6">
        <f>40/$CB$3</f>
        <v>0.17857142857142858</v>
      </c>
      <c r="CD316">
        <v>43</v>
      </c>
      <c r="CE316" s="6">
        <f>CD316/CD321</f>
        <v>0.17842323651452283</v>
      </c>
      <c r="CF316" s="6">
        <f>43/$CF$3</f>
        <v>0.17842323651452283</v>
      </c>
      <c r="CH316">
        <v>64</v>
      </c>
      <c r="CI316" s="6">
        <f>CH316/CH321</f>
        <v>0.19393939393939394</v>
      </c>
      <c r="CJ316" s="6">
        <f>64/$CJ$3</f>
        <v>0.19393939393939394</v>
      </c>
    </row>
    <row r="317" spans="1:88" x14ac:dyDescent="0.35">
      <c r="A317" s="1" t="s">
        <v>623</v>
      </c>
      <c r="B317">
        <v>435</v>
      </c>
      <c r="C317" s="6">
        <f>B317/B321</f>
        <v>0.39545454545454545</v>
      </c>
      <c r="D317" s="6">
        <f>435/$D$3</f>
        <v>0.39545454545454545</v>
      </c>
      <c r="F317">
        <v>318</v>
      </c>
      <c r="G317" s="6">
        <f>F317/F321</f>
        <v>0.34906695938529086</v>
      </c>
      <c r="H317" s="6">
        <f>318/$H$3</f>
        <v>0.34906695938529086</v>
      </c>
      <c r="J317">
        <v>124</v>
      </c>
      <c r="K317" s="6">
        <f>J317/J321</f>
        <v>0.2857142857142857</v>
      </c>
      <c r="L317" s="8">
        <f>124/$L$3</f>
        <v>0.2857142857142857</v>
      </c>
      <c r="N317">
        <v>31</v>
      </c>
      <c r="O317" s="6">
        <f>N317/N321</f>
        <v>0.38271604938271603</v>
      </c>
      <c r="P317" s="6">
        <f>31/$P$3</f>
        <v>0.38271604938271603</v>
      </c>
      <c r="R317">
        <v>223</v>
      </c>
      <c r="S317" s="6">
        <f>R317/R321</f>
        <v>0.39821428571428569</v>
      </c>
      <c r="T317" s="6">
        <f>223/$T$3</f>
        <v>0.39821428571428569</v>
      </c>
      <c r="V317">
        <v>212</v>
      </c>
      <c r="W317" s="6">
        <f>V317/V321</f>
        <v>0.3925925925925926</v>
      </c>
      <c r="X317" s="6">
        <f>212/$X$3</f>
        <v>0.3925925925925926</v>
      </c>
      <c r="Z317">
        <v>34</v>
      </c>
      <c r="AA317" s="6">
        <f>Z317/Z321</f>
        <v>0.30088495575221241</v>
      </c>
      <c r="AB317" s="8">
        <f>34/$AB$3</f>
        <v>0.30088495575221241</v>
      </c>
      <c r="AD317">
        <v>56</v>
      </c>
      <c r="AE317" s="6">
        <f>AD317/AD321</f>
        <v>0.28282828282828282</v>
      </c>
      <c r="AF317" s="8">
        <f>56/$AF$3</f>
        <v>0.28282828282828282</v>
      </c>
      <c r="AH317">
        <v>71</v>
      </c>
      <c r="AI317" s="6">
        <f>AH317/AH321</f>
        <v>0.2874493927125506</v>
      </c>
      <c r="AJ317" s="8">
        <f>71/$AJ$3</f>
        <v>0.2874493927125506</v>
      </c>
      <c r="AL317">
        <v>92</v>
      </c>
      <c r="AM317" s="6">
        <f>AL317/AL321</f>
        <v>0.39655172413793105</v>
      </c>
      <c r="AN317" s="6">
        <f>92/$AN$3</f>
        <v>0.39655172413793105</v>
      </c>
      <c r="AP317">
        <v>99</v>
      </c>
      <c r="AQ317" s="6">
        <f>AP317/AP321</f>
        <v>0.532258064516129</v>
      </c>
      <c r="AR317" s="9">
        <f>99/$AR$3</f>
        <v>0.532258064516129</v>
      </c>
      <c r="AS317" s="7"/>
      <c r="AT317">
        <v>83</v>
      </c>
      <c r="AU317" s="6">
        <f>AT317/AT321</f>
        <v>0.66935483870967738</v>
      </c>
      <c r="AV317" s="9">
        <f>83/$AV$3</f>
        <v>0.66935483870967738</v>
      </c>
      <c r="AW317" s="7"/>
      <c r="AX317">
        <v>156</v>
      </c>
      <c r="AY317" s="6">
        <f>AX317/AX321</f>
        <v>0.36279069767441863</v>
      </c>
      <c r="AZ317" s="6">
        <f>156/$AZ$3</f>
        <v>0.36279069767441863</v>
      </c>
      <c r="BB317">
        <v>172</v>
      </c>
      <c r="BC317" s="6">
        <f>BB317/BB321</f>
        <v>0.40186915887850466</v>
      </c>
      <c r="BD317" s="6">
        <f>172/$BD$3</f>
        <v>0.40186915887850466</v>
      </c>
      <c r="BF317">
        <v>107</v>
      </c>
      <c r="BG317" s="6">
        <f>BF317/BF321</f>
        <v>0.44214876033057854</v>
      </c>
      <c r="BH317" s="6">
        <f>107/$BH$3</f>
        <v>0.44214876033057854</v>
      </c>
      <c r="BJ317">
        <v>131</v>
      </c>
      <c r="BK317" s="6">
        <f>BJ317/BJ321</f>
        <v>0.32506203473945411</v>
      </c>
      <c r="BL317" s="8">
        <f>131/$BL$3</f>
        <v>0.32506203473945411</v>
      </c>
      <c r="BN317">
        <v>186</v>
      </c>
      <c r="BO317" s="6">
        <f>BN317/BN321</f>
        <v>0.43971631205673761</v>
      </c>
      <c r="BP317" s="6">
        <f>186/$BP$3</f>
        <v>0.43971631205673761</v>
      </c>
      <c r="BQ317" s="7"/>
      <c r="BR317">
        <v>118</v>
      </c>
      <c r="BS317" s="6">
        <f>BR317/BR321</f>
        <v>0.43065693430656932</v>
      </c>
      <c r="BT317" s="6">
        <f>118/$BT$3</f>
        <v>0.43065693430656932</v>
      </c>
      <c r="BU317" s="7"/>
      <c r="BV317">
        <v>125</v>
      </c>
      <c r="BW317" s="6">
        <f>BV317/BV321</f>
        <v>0.4098360655737705</v>
      </c>
      <c r="BX317" s="6">
        <f>125/$BX$3</f>
        <v>0.4098360655737705</v>
      </c>
      <c r="BZ317">
        <v>82</v>
      </c>
      <c r="CA317" s="6">
        <f>BZ317/BZ321</f>
        <v>0.36607142857142855</v>
      </c>
      <c r="CB317" s="6">
        <f>82/$CB$3</f>
        <v>0.36607142857142855</v>
      </c>
      <c r="CD317">
        <v>86</v>
      </c>
      <c r="CE317" s="6">
        <f>CD317/CD321</f>
        <v>0.35684647302904565</v>
      </c>
      <c r="CF317" s="6">
        <f>86/$CF$3</f>
        <v>0.35684647302904565</v>
      </c>
      <c r="CH317">
        <v>142</v>
      </c>
      <c r="CI317" s="6">
        <f>CH317/CH321</f>
        <v>0.4303030303030303</v>
      </c>
      <c r="CJ317" s="6">
        <f>142/$CJ$3</f>
        <v>0.4303030303030303</v>
      </c>
    </row>
    <row r="318" spans="1:88" x14ac:dyDescent="0.35">
      <c r="A318" s="1" t="s">
        <v>624</v>
      </c>
      <c r="B318">
        <v>492</v>
      </c>
      <c r="C318" s="6">
        <f>B318/B321</f>
        <v>0.44727272727272727</v>
      </c>
      <c r="D318" s="6">
        <f>492/$D$3</f>
        <v>0.44727272727272727</v>
      </c>
      <c r="F318">
        <v>365</v>
      </c>
      <c r="G318" s="6">
        <f>F318/F321</f>
        <v>0.40065861690450055</v>
      </c>
      <c r="H318" s="6">
        <f>365/$H$3</f>
        <v>0.40065861690450055</v>
      </c>
      <c r="J318">
        <v>152</v>
      </c>
      <c r="K318" s="6">
        <f>J318/J321</f>
        <v>0.35023041474654376</v>
      </c>
      <c r="L318" s="8">
        <f>152/$L$3</f>
        <v>0.35023041474654376</v>
      </c>
      <c r="N318">
        <v>30</v>
      </c>
      <c r="O318" s="6">
        <f>N318/N321</f>
        <v>0.37037037037037035</v>
      </c>
      <c r="P318" s="6">
        <f>30/$P$3</f>
        <v>0.37037037037037035</v>
      </c>
      <c r="R318">
        <v>207</v>
      </c>
      <c r="S318" s="6">
        <f>R318/R321</f>
        <v>0.36964285714285716</v>
      </c>
      <c r="T318" s="8">
        <f>207/$T$3</f>
        <v>0.36964285714285716</v>
      </c>
      <c r="V318">
        <v>285</v>
      </c>
      <c r="W318" s="6">
        <f>V318/V321</f>
        <v>0.52777777777777779</v>
      </c>
      <c r="X318" s="9">
        <f>285/$X$3</f>
        <v>0.52777777777777779</v>
      </c>
      <c r="Z318">
        <v>33</v>
      </c>
      <c r="AA318" s="6">
        <f>Z318/Z321</f>
        <v>0.29203539823008851</v>
      </c>
      <c r="AB318" s="8">
        <f>33/$AB$3</f>
        <v>0.29203539823008851</v>
      </c>
      <c r="AD318">
        <v>91</v>
      </c>
      <c r="AE318" s="6">
        <f>AD318/AD321</f>
        <v>0.45959595959595961</v>
      </c>
      <c r="AF318" s="6">
        <f>91/$AF$3</f>
        <v>0.45959595959595961</v>
      </c>
      <c r="AG318" s="7"/>
      <c r="AH318">
        <v>99</v>
      </c>
      <c r="AI318" s="6">
        <f>AH318/AH321</f>
        <v>0.40080971659919029</v>
      </c>
      <c r="AJ318" s="6">
        <f>99/$AJ$3</f>
        <v>0.40080971659919029</v>
      </c>
      <c r="AL318">
        <v>104</v>
      </c>
      <c r="AM318" s="6">
        <f>AL318/AL321</f>
        <v>0.44827586206896552</v>
      </c>
      <c r="AN318" s="6">
        <f>104/$AN$3</f>
        <v>0.44827586206896552</v>
      </c>
      <c r="AO318" s="7"/>
      <c r="AP318">
        <v>93</v>
      </c>
      <c r="AQ318" s="6">
        <f>AP318/AP321</f>
        <v>0.5</v>
      </c>
      <c r="AR318" s="6">
        <f>93/$AR$3</f>
        <v>0.5</v>
      </c>
      <c r="AS318" s="7"/>
      <c r="AT318">
        <v>72</v>
      </c>
      <c r="AU318" s="6">
        <f>AT318/AT321</f>
        <v>0.58064516129032262</v>
      </c>
      <c r="AV318" s="9">
        <f>72/$AV$3</f>
        <v>0.58064516129032262</v>
      </c>
      <c r="AW318" s="7"/>
      <c r="AX318">
        <v>187</v>
      </c>
      <c r="AY318" s="6">
        <f>AX318/AX321</f>
        <v>0.43488372093023253</v>
      </c>
      <c r="AZ318" s="6">
        <f>187/$AZ$3</f>
        <v>0.43488372093023253</v>
      </c>
      <c r="BB318">
        <v>188</v>
      </c>
      <c r="BC318" s="6">
        <f>BB318/BB321</f>
        <v>0.43925233644859812</v>
      </c>
      <c r="BD318" s="6">
        <f>188/$BD$3</f>
        <v>0.43925233644859812</v>
      </c>
      <c r="BF318">
        <v>117</v>
      </c>
      <c r="BG318" s="6">
        <f>BF318/BF321</f>
        <v>0.48347107438016529</v>
      </c>
      <c r="BH318" s="6">
        <f>117/$BH$3</f>
        <v>0.48347107438016529</v>
      </c>
      <c r="BJ318">
        <v>186</v>
      </c>
      <c r="BK318" s="6">
        <f>BJ318/BJ321</f>
        <v>0.46153846153846156</v>
      </c>
      <c r="BL318" s="6">
        <f>186/$BL$3</f>
        <v>0.46153846153846156</v>
      </c>
      <c r="BN318">
        <v>191</v>
      </c>
      <c r="BO318" s="6">
        <f>BN318/BN321</f>
        <v>0.45153664302600471</v>
      </c>
      <c r="BP318" s="6">
        <f>191/$BP$3</f>
        <v>0.45153664302600471</v>
      </c>
      <c r="BR318">
        <v>115</v>
      </c>
      <c r="BS318" s="6">
        <f>BR318/BR321</f>
        <v>0.41970802919708028</v>
      </c>
      <c r="BT318" s="6">
        <f>115/$BT$3</f>
        <v>0.41970802919708028</v>
      </c>
      <c r="BV318">
        <v>143</v>
      </c>
      <c r="BW318" s="6">
        <f>BV318/BV321</f>
        <v>0.46885245901639344</v>
      </c>
      <c r="BX318" s="6">
        <f>143/$BX$3</f>
        <v>0.46885245901639344</v>
      </c>
      <c r="BZ318">
        <v>97</v>
      </c>
      <c r="CA318" s="6">
        <f>BZ318/BZ321</f>
        <v>0.4330357142857143</v>
      </c>
      <c r="CB318" s="6">
        <f>97/$CB$3</f>
        <v>0.4330357142857143</v>
      </c>
      <c r="CD318">
        <v>104</v>
      </c>
      <c r="CE318" s="6">
        <f>CD318/CD321</f>
        <v>0.43153526970954359</v>
      </c>
      <c r="CF318" s="6">
        <f>104/$CF$3</f>
        <v>0.43153526970954359</v>
      </c>
      <c r="CH318">
        <v>148</v>
      </c>
      <c r="CI318" s="6">
        <f>CH318/CH321</f>
        <v>0.44848484848484849</v>
      </c>
      <c r="CJ318" s="6">
        <f>148/$CJ$3</f>
        <v>0.44848484848484849</v>
      </c>
    </row>
    <row r="320" spans="1:88" x14ac:dyDescent="0.35">
      <c r="A320" s="1" t="s">
        <v>409</v>
      </c>
      <c r="B320">
        <v>0</v>
      </c>
      <c r="C320" s="6">
        <f>B320/B321</f>
        <v>0</v>
      </c>
      <c r="D320" s="6">
        <f>0/$D$3</f>
        <v>0</v>
      </c>
      <c r="F320">
        <v>0</v>
      </c>
      <c r="G320" s="6">
        <f>F320/F321</f>
        <v>0</v>
      </c>
      <c r="H320" s="6">
        <f>0/$H$3</f>
        <v>0</v>
      </c>
      <c r="J320">
        <v>0</v>
      </c>
      <c r="K320" s="6">
        <f>J320/J321</f>
        <v>0</v>
      </c>
      <c r="L320" s="6">
        <f>0/$L$3</f>
        <v>0</v>
      </c>
      <c r="N320">
        <v>0</v>
      </c>
      <c r="O320" s="6">
        <f>N320/N321</f>
        <v>0</v>
      </c>
      <c r="P320" s="6">
        <f>0/$P$3</f>
        <v>0</v>
      </c>
      <c r="R320">
        <v>0</v>
      </c>
      <c r="S320" s="6">
        <f>R320/R321</f>
        <v>0</v>
      </c>
      <c r="T320" s="6">
        <f>0/$T$3</f>
        <v>0</v>
      </c>
      <c r="V320">
        <v>0</v>
      </c>
      <c r="W320" s="6">
        <f>V320/V321</f>
        <v>0</v>
      </c>
      <c r="X320" s="6">
        <f>0/$X$3</f>
        <v>0</v>
      </c>
      <c r="Z320">
        <v>0</v>
      </c>
      <c r="AA320" s="6">
        <f>Z320/Z321</f>
        <v>0</v>
      </c>
      <c r="AB320" s="6">
        <f>0/$AB$3</f>
        <v>0</v>
      </c>
      <c r="AD320">
        <v>0</v>
      </c>
      <c r="AE320" s="6">
        <f>AD320/AD321</f>
        <v>0</v>
      </c>
      <c r="AF320" s="6">
        <f>0/$AF$3</f>
        <v>0</v>
      </c>
      <c r="AH320">
        <v>0</v>
      </c>
      <c r="AI320" s="6">
        <f>AH320/AH321</f>
        <v>0</v>
      </c>
      <c r="AJ320" s="6">
        <f>0/$AJ$3</f>
        <v>0</v>
      </c>
      <c r="AL320">
        <v>0</v>
      </c>
      <c r="AM320" s="6">
        <f>AL320/AL321</f>
        <v>0</v>
      </c>
      <c r="AN320" s="6">
        <f>0/$AN$3</f>
        <v>0</v>
      </c>
      <c r="AP320">
        <v>0</v>
      </c>
      <c r="AQ320" s="6">
        <f>AP320/AP321</f>
        <v>0</v>
      </c>
      <c r="AR320" s="6">
        <f>0/$AR$3</f>
        <v>0</v>
      </c>
      <c r="AT320">
        <v>0</v>
      </c>
      <c r="AU320" s="6">
        <f>AT320/AT321</f>
        <v>0</v>
      </c>
      <c r="AV320" s="6">
        <f>0/$AV$3</f>
        <v>0</v>
      </c>
      <c r="AX320">
        <v>0</v>
      </c>
      <c r="AY320" s="6">
        <f>AX320/AX321</f>
        <v>0</v>
      </c>
      <c r="AZ320" s="6">
        <f>0/$AZ$3</f>
        <v>0</v>
      </c>
      <c r="BB320">
        <v>0</v>
      </c>
      <c r="BC320" s="6">
        <f>BB320/BB321</f>
        <v>0</v>
      </c>
      <c r="BD320" s="6">
        <f>0/$BD$3</f>
        <v>0</v>
      </c>
      <c r="BF320">
        <v>0</v>
      </c>
      <c r="BG320" s="6">
        <f>BF320/BF321</f>
        <v>0</v>
      </c>
      <c r="BH320" s="6">
        <f>0/$BH$3</f>
        <v>0</v>
      </c>
      <c r="BJ320">
        <v>0</v>
      </c>
      <c r="BK320" s="6">
        <f>BJ320/BJ321</f>
        <v>0</v>
      </c>
      <c r="BL320" s="6">
        <f>0/$BL$3</f>
        <v>0</v>
      </c>
      <c r="BN320">
        <v>0</v>
      </c>
      <c r="BO320" s="6">
        <f>BN320/BN321</f>
        <v>0</v>
      </c>
      <c r="BP320" s="6">
        <f>0/$BP$3</f>
        <v>0</v>
      </c>
      <c r="BR320">
        <v>0</v>
      </c>
      <c r="BS320" s="6">
        <f>BR320/BR321</f>
        <v>0</v>
      </c>
      <c r="BT320" s="6">
        <f>0/$BT$3</f>
        <v>0</v>
      </c>
      <c r="BV320">
        <v>0</v>
      </c>
      <c r="BW320" s="6">
        <f>BV320/BV321</f>
        <v>0</v>
      </c>
      <c r="BX320" s="6">
        <f>0/$BX$3</f>
        <v>0</v>
      </c>
      <c r="BZ320">
        <v>0</v>
      </c>
      <c r="CA320" s="6">
        <f>BZ320/BZ321</f>
        <v>0</v>
      </c>
      <c r="CB320" s="6">
        <f>0/$CB$3</f>
        <v>0</v>
      </c>
      <c r="CD320">
        <v>0</v>
      </c>
      <c r="CE320" s="6">
        <f>CD320/CD321</f>
        <v>0</v>
      </c>
      <c r="CF320" s="6">
        <f>0/$CF$3</f>
        <v>0</v>
      </c>
      <c r="CH320">
        <v>0</v>
      </c>
      <c r="CI320" s="6">
        <f>CH320/CH321</f>
        <v>0</v>
      </c>
      <c r="CJ320" s="6">
        <f>0/$CJ$3</f>
        <v>0</v>
      </c>
    </row>
    <row r="321" spans="1:88" s="10" customFormat="1" x14ac:dyDescent="0.35">
      <c r="A321" s="11" t="s">
        <v>411</v>
      </c>
      <c r="B321" s="10">
        <v>1100</v>
      </c>
      <c r="F321" s="10">
        <v>911</v>
      </c>
      <c r="J321" s="10">
        <v>434</v>
      </c>
      <c r="N321" s="10">
        <v>81</v>
      </c>
      <c r="R321" s="10">
        <v>560</v>
      </c>
      <c r="V321" s="10">
        <v>540</v>
      </c>
      <c r="Z321" s="10">
        <v>113</v>
      </c>
      <c r="AD321" s="10">
        <v>198</v>
      </c>
      <c r="AH321" s="10">
        <v>247</v>
      </c>
      <c r="AL321" s="10">
        <v>232</v>
      </c>
      <c r="AP321" s="10">
        <v>186</v>
      </c>
      <c r="AT321" s="10">
        <v>124</v>
      </c>
      <c r="AX321" s="10">
        <v>430</v>
      </c>
      <c r="BB321" s="10">
        <v>428</v>
      </c>
      <c r="BF321" s="10">
        <v>242</v>
      </c>
      <c r="BJ321" s="10">
        <v>403</v>
      </c>
      <c r="BN321" s="10">
        <v>423</v>
      </c>
      <c r="BR321" s="10">
        <v>274</v>
      </c>
      <c r="BV321" s="10">
        <v>305</v>
      </c>
      <c r="BZ321" s="10">
        <v>224</v>
      </c>
      <c r="CD321" s="10">
        <v>241</v>
      </c>
      <c r="CH321" s="10">
        <v>330</v>
      </c>
    </row>
    <row r="322" spans="1:88" hidden="1" x14ac:dyDescent="0.35">
      <c r="A322" s="12" t="s">
        <v>412</v>
      </c>
      <c r="B322">
        <v>0</v>
      </c>
      <c r="F322">
        <v>0</v>
      </c>
      <c r="J322">
        <v>0</v>
      </c>
      <c r="N322">
        <v>0</v>
      </c>
      <c r="R322">
        <v>0</v>
      </c>
      <c r="V322">
        <v>0</v>
      </c>
      <c r="Z322">
        <v>0</v>
      </c>
      <c r="AD322">
        <v>0</v>
      </c>
      <c r="AH322">
        <v>0</v>
      </c>
      <c r="AL322">
        <v>0</v>
      </c>
      <c r="AP322">
        <v>0</v>
      </c>
      <c r="AT322">
        <v>0</v>
      </c>
      <c r="AX322">
        <v>0</v>
      </c>
      <c r="BB322">
        <v>0</v>
      </c>
      <c r="BF322">
        <v>0</v>
      </c>
      <c r="BJ322">
        <v>0</v>
      </c>
      <c r="BN322">
        <v>0</v>
      </c>
      <c r="BR322">
        <v>0</v>
      </c>
      <c r="BV322">
        <v>0</v>
      </c>
      <c r="BZ322">
        <v>0</v>
      </c>
      <c r="CD322">
        <v>0</v>
      </c>
      <c r="CH322">
        <v>0</v>
      </c>
    </row>
    <row r="323" spans="1:88" hidden="1" x14ac:dyDescent="0.35">
      <c r="A323" s="12" t="s">
        <v>413</v>
      </c>
      <c r="B323">
        <v>0</v>
      </c>
      <c r="F323">
        <v>0</v>
      </c>
      <c r="J323">
        <v>0</v>
      </c>
      <c r="N323">
        <v>0</v>
      </c>
      <c r="R323">
        <v>0</v>
      </c>
      <c r="V323">
        <v>0</v>
      </c>
      <c r="Z323">
        <v>0</v>
      </c>
      <c r="AD323">
        <v>0</v>
      </c>
      <c r="AH323">
        <v>0</v>
      </c>
      <c r="AL323">
        <v>0</v>
      </c>
      <c r="AP323">
        <v>0</v>
      </c>
      <c r="AT323">
        <v>0</v>
      </c>
      <c r="AX323">
        <v>0</v>
      </c>
      <c r="BB323">
        <v>0</v>
      </c>
      <c r="BF323">
        <v>0</v>
      </c>
      <c r="BJ323">
        <v>0</v>
      </c>
      <c r="BN323">
        <v>0</v>
      </c>
      <c r="BR323">
        <v>0</v>
      </c>
      <c r="BV323">
        <v>0</v>
      </c>
      <c r="BZ323">
        <v>0</v>
      </c>
      <c r="CD323">
        <v>0</v>
      </c>
      <c r="CH323">
        <v>0</v>
      </c>
    </row>
    <row r="325" spans="1:88" x14ac:dyDescent="0.35">
      <c r="AB325" s="2" t="s">
        <v>3</v>
      </c>
      <c r="AF325" s="2" t="s">
        <v>4</v>
      </c>
      <c r="AJ325" s="2" t="s">
        <v>5</v>
      </c>
      <c r="AN325" s="2" t="s">
        <v>6</v>
      </c>
      <c r="AR325" s="2" t="s">
        <v>7</v>
      </c>
      <c r="AV325" s="2" t="s">
        <v>8</v>
      </c>
      <c r="AZ325" s="2" t="s">
        <v>3</v>
      </c>
      <c r="BD325" s="2" t="s">
        <v>4</v>
      </c>
      <c r="BH325" s="2" t="s">
        <v>5</v>
      </c>
      <c r="BL325" s="2" t="s">
        <v>3</v>
      </c>
      <c r="BP325" s="2" t="s">
        <v>4</v>
      </c>
      <c r="BT325" s="2" t="s">
        <v>5</v>
      </c>
      <c r="BX325" s="2" t="s">
        <v>3</v>
      </c>
      <c r="CB325" s="2" t="s">
        <v>4</v>
      </c>
      <c r="CF325" s="2" t="s">
        <v>5</v>
      </c>
      <c r="CJ325" s="2" t="s">
        <v>6</v>
      </c>
    </row>
    <row r="326" spans="1:88" s="3" customFormat="1" x14ac:dyDescent="0.35">
      <c r="A326" s="3" t="s">
        <v>625</v>
      </c>
      <c r="D326" s="5" t="s">
        <v>406</v>
      </c>
      <c r="H326" s="5" t="s">
        <v>406</v>
      </c>
      <c r="L326" s="5" t="s">
        <v>406</v>
      </c>
      <c r="P326" s="5" t="s">
        <v>406</v>
      </c>
      <c r="T326" s="5" t="s">
        <v>406</v>
      </c>
      <c r="X326" s="5" t="s">
        <v>406</v>
      </c>
      <c r="AB326" s="5" t="s">
        <v>406</v>
      </c>
      <c r="AF326" s="5" t="s">
        <v>406</v>
      </c>
      <c r="AJ326" s="5" t="s">
        <v>406</v>
      </c>
      <c r="AN326" s="5" t="s">
        <v>406</v>
      </c>
      <c r="AR326" s="5" t="s">
        <v>406</v>
      </c>
      <c r="AV326" s="5" t="s">
        <v>406</v>
      </c>
      <c r="AZ326" s="5" t="s">
        <v>406</v>
      </c>
      <c r="BD326" s="5" t="s">
        <v>406</v>
      </c>
      <c r="BH326" s="5" t="s">
        <v>406</v>
      </c>
      <c r="BL326" s="5" t="s">
        <v>406</v>
      </c>
      <c r="BP326" s="5" t="s">
        <v>406</v>
      </c>
      <c r="BT326" s="5" t="s">
        <v>406</v>
      </c>
      <c r="BX326" s="5" t="s">
        <v>406</v>
      </c>
      <c r="CB326" s="5" t="s">
        <v>406</v>
      </c>
      <c r="CF326" s="5" t="s">
        <v>406</v>
      </c>
      <c r="CJ326" s="5" t="s">
        <v>406</v>
      </c>
    </row>
    <row r="327" spans="1:88" x14ac:dyDescent="0.35">
      <c r="A327" s="1" t="s">
        <v>626</v>
      </c>
      <c r="B327">
        <v>327</v>
      </c>
      <c r="C327" s="6">
        <f>B327/B330</f>
        <v>0.2972727272727273</v>
      </c>
      <c r="D327" s="6">
        <f>327/$D$3</f>
        <v>0.2972727272727273</v>
      </c>
      <c r="F327">
        <v>297</v>
      </c>
      <c r="G327" s="6">
        <f>F327/F330</f>
        <v>0.32601536772777168</v>
      </c>
      <c r="H327" s="6">
        <f>297/$H$3</f>
        <v>0.32601536772777168</v>
      </c>
      <c r="J327">
        <v>163</v>
      </c>
      <c r="K327" s="6">
        <f>J327/J330</f>
        <v>0.37557603686635943</v>
      </c>
      <c r="L327" s="9">
        <f>163/$L$3</f>
        <v>0.37557603686635943</v>
      </c>
      <c r="N327">
        <v>26</v>
      </c>
      <c r="O327" s="6">
        <f>N327/N330</f>
        <v>0.32098765432098764</v>
      </c>
      <c r="P327" s="6">
        <f>26/$P$3</f>
        <v>0.32098765432098764</v>
      </c>
      <c r="R327">
        <v>216</v>
      </c>
      <c r="S327" s="6">
        <f>R327/R330</f>
        <v>0.38571428571428573</v>
      </c>
      <c r="T327" s="9">
        <f>216/$T$3</f>
        <v>0.38571428571428573</v>
      </c>
      <c r="V327">
        <v>111</v>
      </c>
      <c r="W327" s="6">
        <f>V327/V330</f>
        <v>0.20555555555555555</v>
      </c>
      <c r="X327" s="8">
        <f>111/$X$3</f>
        <v>0.20555555555555555</v>
      </c>
      <c r="Z327">
        <v>28</v>
      </c>
      <c r="AA327" s="6">
        <f>Z327/Z330</f>
        <v>0.24778761061946902</v>
      </c>
      <c r="AB327" s="6">
        <f>28/$AB$3</f>
        <v>0.24778761061946902</v>
      </c>
      <c r="AD327">
        <v>50</v>
      </c>
      <c r="AE327" s="6">
        <f>AD327/AD330</f>
        <v>0.25252525252525254</v>
      </c>
      <c r="AF327" s="6">
        <f>50/$AF$3</f>
        <v>0.25252525252525254</v>
      </c>
      <c r="AH327">
        <v>78</v>
      </c>
      <c r="AI327" s="6">
        <f>AH327/AH330</f>
        <v>0.31578947368421051</v>
      </c>
      <c r="AJ327" s="6">
        <f>78/$AJ$3</f>
        <v>0.31578947368421051</v>
      </c>
      <c r="AL327">
        <v>82</v>
      </c>
      <c r="AM327" s="6">
        <f>AL327/AL330</f>
        <v>0.35344827586206895</v>
      </c>
      <c r="AN327" s="9">
        <f>82/$AN$3</f>
        <v>0.35344827586206895</v>
      </c>
      <c r="AP327">
        <v>50</v>
      </c>
      <c r="AQ327" s="6">
        <f>AP327/AP330</f>
        <v>0.26881720430107525</v>
      </c>
      <c r="AR327" s="6">
        <f>50/$AR$3</f>
        <v>0.26881720430107525</v>
      </c>
      <c r="AT327">
        <v>39</v>
      </c>
      <c r="AU327" s="6">
        <f>AT327/AT330</f>
        <v>0.31451612903225806</v>
      </c>
      <c r="AV327" s="6">
        <f>39/$AV$3</f>
        <v>0.31451612903225806</v>
      </c>
      <c r="AX327">
        <v>112</v>
      </c>
      <c r="AY327" s="6">
        <f>AX327/AX330</f>
        <v>0.26046511627906976</v>
      </c>
      <c r="AZ327" s="6">
        <f>112/$AZ$3</f>
        <v>0.26046511627906976</v>
      </c>
      <c r="BB327">
        <v>151</v>
      </c>
      <c r="BC327" s="6">
        <f>BB327/BB330</f>
        <v>0.35280373831775702</v>
      </c>
      <c r="BD327" s="9">
        <f>151/$BD$3</f>
        <v>0.35280373831775702</v>
      </c>
      <c r="BE327" s="7" t="s">
        <v>3</v>
      </c>
      <c r="BF327">
        <v>64</v>
      </c>
      <c r="BG327" s="6">
        <f>BF327/BF330</f>
        <v>0.26446280991735538</v>
      </c>
      <c r="BH327" s="6">
        <f>64/$BH$3</f>
        <v>0.26446280991735538</v>
      </c>
      <c r="BJ327">
        <v>111</v>
      </c>
      <c r="BK327" s="6">
        <f>BJ327/BJ330</f>
        <v>0.27543424317617865</v>
      </c>
      <c r="BL327" s="6">
        <f>111/$BL$3</f>
        <v>0.27543424317617865</v>
      </c>
      <c r="BN327">
        <v>124</v>
      </c>
      <c r="BO327" s="6">
        <f>BN327/BN330</f>
        <v>0.29314420803782504</v>
      </c>
      <c r="BP327" s="6">
        <f>124/$BP$3</f>
        <v>0.29314420803782504</v>
      </c>
      <c r="BR327">
        <v>92</v>
      </c>
      <c r="BS327" s="6">
        <f>BR327/BR330</f>
        <v>0.33576642335766421</v>
      </c>
      <c r="BT327" s="6">
        <f>92/$BT$3</f>
        <v>0.33576642335766421</v>
      </c>
      <c r="BV327">
        <v>84</v>
      </c>
      <c r="BW327" s="6">
        <f>BV327/BV330</f>
        <v>0.27540983606557379</v>
      </c>
      <c r="BX327" s="6">
        <f>84/$BX$3</f>
        <v>0.27540983606557379</v>
      </c>
      <c r="BZ327">
        <v>64</v>
      </c>
      <c r="CA327" s="6">
        <f>BZ327/BZ330</f>
        <v>0.2857142857142857</v>
      </c>
      <c r="CB327" s="6">
        <f>64/$CB$3</f>
        <v>0.2857142857142857</v>
      </c>
      <c r="CD327">
        <v>82</v>
      </c>
      <c r="CE327" s="6">
        <f>CD327/CD330</f>
        <v>0.34024896265560167</v>
      </c>
      <c r="CF327" s="6">
        <f>82/$CF$3</f>
        <v>0.34024896265560167</v>
      </c>
      <c r="CH327">
        <v>97</v>
      </c>
      <c r="CI327" s="6">
        <f>CH327/CH330</f>
        <v>0.29393939393939394</v>
      </c>
      <c r="CJ327" s="6">
        <f>97/$CJ$3</f>
        <v>0.29393939393939394</v>
      </c>
    </row>
    <row r="328" spans="1:88" x14ac:dyDescent="0.35">
      <c r="A328" s="1" t="s">
        <v>627</v>
      </c>
      <c r="B328">
        <v>773</v>
      </c>
      <c r="C328" s="6">
        <f>B328/B330</f>
        <v>0.70272727272727276</v>
      </c>
      <c r="D328" s="6">
        <f>773/$D$3</f>
        <v>0.70272727272727276</v>
      </c>
      <c r="F328">
        <v>614</v>
      </c>
      <c r="G328" s="6">
        <f>F328/F330</f>
        <v>0.67398463227222827</v>
      </c>
      <c r="H328" s="6">
        <f>614/$H$3</f>
        <v>0.67398463227222827</v>
      </c>
      <c r="J328">
        <v>271</v>
      </c>
      <c r="K328" s="6">
        <f>J328/J330</f>
        <v>0.62442396313364057</v>
      </c>
      <c r="L328" s="8">
        <f>271/$L$3</f>
        <v>0.62442396313364057</v>
      </c>
      <c r="N328">
        <v>55</v>
      </c>
      <c r="O328" s="6">
        <f>N328/N330</f>
        <v>0.67901234567901236</v>
      </c>
      <c r="P328" s="6">
        <f>55/$P$3</f>
        <v>0.67901234567901236</v>
      </c>
      <c r="R328">
        <v>344</v>
      </c>
      <c r="S328" s="6">
        <f>R328/R330</f>
        <v>0.61428571428571432</v>
      </c>
      <c r="T328" s="8">
        <f>344/$T$3</f>
        <v>0.61428571428571432</v>
      </c>
      <c r="V328">
        <v>429</v>
      </c>
      <c r="W328" s="6">
        <f>V328/V330</f>
        <v>0.7944444444444444</v>
      </c>
      <c r="X328" s="9">
        <f>429/$X$3</f>
        <v>0.7944444444444444</v>
      </c>
      <c r="Z328">
        <v>85</v>
      </c>
      <c r="AA328" s="6">
        <f>Z328/Z330</f>
        <v>0.75221238938053092</v>
      </c>
      <c r="AB328" s="6">
        <f>85/$AB$3</f>
        <v>0.75221238938053092</v>
      </c>
      <c r="AD328">
        <v>148</v>
      </c>
      <c r="AE328" s="6">
        <f>AD328/AD330</f>
        <v>0.74747474747474751</v>
      </c>
      <c r="AF328" s="6">
        <f>148/$AF$3</f>
        <v>0.74747474747474751</v>
      </c>
      <c r="AH328">
        <v>169</v>
      </c>
      <c r="AI328" s="6">
        <f>AH328/AH330</f>
        <v>0.68421052631578949</v>
      </c>
      <c r="AJ328" s="6">
        <f>169/$AJ$3</f>
        <v>0.68421052631578949</v>
      </c>
      <c r="AL328">
        <v>150</v>
      </c>
      <c r="AM328" s="6">
        <f>AL328/AL330</f>
        <v>0.64655172413793105</v>
      </c>
      <c r="AN328" s="8">
        <f>150/$AN$3</f>
        <v>0.64655172413793105</v>
      </c>
      <c r="AP328">
        <v>136</v>
      </c>
      <c r="AQ328" s="6">
        <f>AP328/AP330</f>
        <v>0.73118279569892475</v>
      </c>
      <c r="AR328" s="6">
        <f>136/$AR$3</f>
        <v>0.73118279569892475</v>
      </c>
      <c r="AT328">
        <v>85</v>
      </c>
      <c r="AU328" s="6">
        <f>AT328/AT330</f>
        <v>0.68548387096774188</v>
      </c>
      <c r="AV328" s="6">
        <f>85/$AV$3</f>
        <v>0.68548387096774188</v>
      </c>
      <c r="AX328">
        <v>318</v>
      </c>
      <c r="AY328" s="6">
        <f>AX328/AX330</f>
        <v>0.73953488372093024</v>
      </c>
      <c r="AZ328" s="6">
        <f>318/$AZ$3</f>
        <v>0.73953488372093024</v>
      </c>
      <c r="BA328" s="7" t="s">
        <v>4</v>
      </c>
      <c r="BB328">
        <v>277</v>
      </c>
      <c r="BC328" s="6">
        <f>BB328/BB330</f>
        <v>0.64719626168224298</v>
      </c>
      <c r="BD328" s="8">
        <f>277/$BD$3</f>
        <v>0.64719626168224298</v>
      </c>
      <c r="BF328">
        <v>178</v>
      </c>
      <c r="BG328" s="6">
        <f>BF328/BF330</f>
        <v>0.73553719008264462</v>
      </c>
      <c r="BH328" s="6">
        <f>178/$BH$3</f>
        <v>0.73553719008264462</v>
      </c>
      <c r="BJ328">
        <v>292</v>
      </c>
      <c r="BK328" s="6">
        <f>BJ328/BJ330</f>
        <v>0.72456575682382129</v>
      </c>
      <c r="BL328" s="6">
        <f>292/$BL$3</f>
        <v>0.72456575682382129</v>
      </c>
      <c r="BN328">
        <v>299</v>
      </c>
      <c r="BO328" s="6">
        <f>BN328/BN330</f>
        <v>0.70685579196217496</v>
      </c>
      <c r="BP328" s="6">
        <f>299/$BP$3</f>
        <v>0.70685579196217496</v>
      </c>
      <c r="BR328">
        <v>182</v>
      </c>
      <c r="BS328" s="6">
        <f>BR328/BR330</f>
        <v>0.66423357664233573</v>
      </c>
      <c r="BT328" s="6">
        <f>182/$BT$3</f>
        <v>0.66423357664233573</v>
      </c>
      <c r="BV328">
        <v>221</v>
      </c>
      <c r="BW328" s="6">
        <f>BV328/BV330</f>
        <v>0.72459016393442621</v>
      </c>
      <c r="BX328" s="6">
        <f>221/$BX$3</f>
        <v>0.72459016393442621</v>
      </c>
      <c r="BZ328">
        <v>160</v>
      </c>
      <c r="CA328" s="6">
        <f>BZ328/BZ330</f>
        <v>0.7142857142857143</v>
      </c>
      <c r="CB328" s="6">
        <f>160/$CB$3</f>
        <v>0.7142857142857143</v>
      </c>
      <c r="CD328">
        <v>159</v>
      </c>
      <c r="CE328" s="6">
        <f>CD328/CD330</f>
        <v>0.65975103734439833</v>
      </c>
      <c r="CF328" s="6">
        <f>159/$CF$3</f>
        <v>0.65975103734439833</v>
      </c>
      <c r="CH328">
        <v>233</v>
      </c>
      <c r="CI328" s="6">
        <f>CH328/CH330</f>
        <v>0.70606060606060606</v>
      </c>
      <c r="CJ328" s="6">
        <f>233/$CJ$3</f>
        <v>0.70606060606060606</v>
      </c>
    </row>
    <row r="329" spans="1:88" x14ac:dyDescent="0.35">
      <c r="A329" s="1" t="s">
        <v>409</v>
      </c>
      <c r="B329">
        <v>0</v>
      </c>
      <c r="C329" s="6">
        <f>B329/B330</f>
        <v>0</v>
      </c>
      <c r="D329" s="6">
        <f>0/$D$3</f>
        <v>0</v>
      </c>
      <c r="F329">
        <v>0</v>
      </c>
      <c r="G329" s="6">
        <f>F329/F330</f>
        <v>0</v>
      </c>
      <c r="H329" s="6">
        <f>0/$H$3</f>
        <v>0</v>
      </c>
      <c r="J329">
        <v>0</v>
      </c>
      <c r="K329" s="6">
        <f>J329/J330</f>
        <v>0</v>
      </c>
      <c r="L329" s="6">
        <f>0/$L$3</f>
        <v>0</v>
      </c>
      <c r="N329">
        <v>0</v>
      </c>
      <c r="O329" s="6">
        <f>N329/N330</f>
        <v>0</v>
      </c>
      <c r="P329" s="6">
        <f>0/$P$3</f>
        <v>0</v>
      </c>
      <c r="R329">
        <v>0</v>
      </c>
      <c r="S329" s="6">
        <f>R329/R330</f>
        <v>0</v>
      </c>
      <c r="T329" s="6">
        <f>0/$T$3</f>
        <v>0</v>
      </c>
      <c r="V329">
        <v>0</v>
      </c>
      <c r="W329" s="6">
        <f>V329/V330</f>
        <v>0</v>
      </c>
      <c r="X329" s="6">
        <f>0/$X$3</f>
        <v>0</v>
      </c>
      <c r="Z329">
        <v>0</v>
      </c>
      <c r="AA329" s="6">
        <f>Z329/Z330</f>
        <v>0</v>
      </c>
      <c r="AB329" s="6">
        <f>0/$AB$3</f>
        <v>0</v>
      </c>
      <c r="AD329">
        <v>0</v>
      </c>
      <c r="AE329" s="6">
        <f>AD329/AD330</f>
        <v>0</v>
      </c>
      <c r="AF329" s="6">
        <f>0/$AF$3</f>
        <v>0</v>
      </c>
      <c r="AH329">
        <v>0</v>
      </c>
      <c r="AI329" s="6">
        <f>AH329/AH330</f>
        <v>0</v>
      </c>
      <c r="AJ329" s="6">
        <f>0/$AJ$3</f>
        <v>0</v>
      </c>
      <c r="AL329">
        <v>0</v>
      </c>
      <c r="AM329" s="6">
        <f>AL329/AL330</f>
        <v>0</v>
      </c>
      <c r="AN329" s="6">
        <f>0/$AN$3</f>
        <v>0</v>
      </c>
      <c r="AP329">
        <v>0</v>
      </c>
      <c r="AQ329" s="6">
        <f>AP329/AP330</f>
        <v>0</v>
      </c>
      <c r="AR329" s="6">
        <f>0/$AR$3</f>
        <v>0</v>
      </c>
      <c r="AT329">
        <v>0</v>
      </c>
      <c r="AU329" s="6">
        <f>AT329/AT330</f>
        <v>0</v>
      </c>
      <c r="AV329" s="6">
        <f>0/$AV$3</f>
        <v>0</v>
      </c>
      <c r="AX329">
        <v>0</v>
      </c>
      <c r="AY329" s="6">
        <f>AX329/AX330</f>
        <v>0</v>
      </c>
      <c r="AZ329" s="6">
        <f>0/$AZ$3</f>
        <v>0</v>
      </c>
      <c r="BB329">
        <v>0</v>
      </c>
      <c r="BC329" s="6">
        <f>BB329/BB330</f>
        <v>0</v>
      </c>
      <c r="BD329" s="6">
        <f>0/$BD$3</f>
        <v>0</v>
      </c>
      <c r="BF329">
        <v>0</v>
      </c>
      <c r="BG329" s="6">
        <f>BF329/BF330</f>
        <v>0</v>
      </c>
      <c r="BH329" s="6">
        <f>0/$BH$3</f>
        <v>0</v>
      </c>
      <c r="BJ329">
        <v>0</v>
      </c>
      <c r="BK329" s="6">
        <f>BJ329/BJ330</f>
        <v>0</v>
      </c>
      <c r="BL329" s="6">
        <f>0/$BL$3</f>
        <v>0</v>
      </c>
      <c r="BN329">
        <v>0</v>
      </c>
      <c r="BO329" s="6">
        <f>BN329/BN330</f>
        <v>0</v>
      </c>
      <c r="BP329" s="6">
        <f>0/$BP$3</f>
        <v>0</v>
      </c>
      <c r="BR329">
        <v>0</v>
      </c>
      <c r="BS329" s="6">
        <f>BR329/BR330</f>
        <v>0</v>
      </c>
      <c r="BT329" s="6">
        <f>0/$BT$3</f>
        <v>0</v>
      </c>
      <c r="BV329">
        <v>0</v>
      </c>
      <c r="BW329" s="6">
        <f>BV329/BV330</f>
        <v>0</v>
      </c>
      <c r="BX329" s="6">
        <f>0/$BX$3</f>
        <v>0</v>
      </c>
      <c r="BZ329">
        <v>0</v>
      </c>
      <c r="CA329" s="6">
        <f>BZ329/BZ330</f>
        <v>0</v>
      </c>
      <c r="CB329" s="6">
        <f>0/$CB$3</f>
        <v>0</v>
      </c>
      <c r="CD329">
        <v>0</v>
      </c>
      <c r="CE329" s="6">
        <f>CD329/CD330</f>
        <v>0</v>
      </c>
      <c r="CF329" s="6">
        <f>0/$CF$3</f>
        <v>0</v>
      </c>
      <c r="CH329">
        <v>0</v>
      </c>
      <c r="CI329" s="6">
        <f>CH329/CH330</f>
        <v>0</v>
      </c>
      <c r="CJ329" s="6">
        <f>0/$CJ$3</f>
        <v>0</v>
      </c>
    </row>
    <row r="330" spans="1:88" s="10" customFormat="1" x14ac:dyDescent="0.35">
      <c r="A330" s="11" t="s">
        <v>411</v>
      </c>
      <c r="B330" s="10">
        <v>1100</v>
      </c>
      <c r="F330" s="10">
        <v>911</v>
      </c>
      <c r="J330" s="10">
        <v>434</v>
      </c>
      <c r="N330" s="10">
        <v>81</v>
      </c>
      <c r="R330" s="10">
        <v>560</v>
      </c>
      <c r="V330" s="10">
        <v>540</v>
      </c>
      <c r="Z330" s="10">
        <v>113</v>
      </c>
      <c r="AD330" s="10">
        <v>198</v>
      </c>
      <c r="AH330" s="10">
        <v>247</v>
      </c>
      <c r="AL330" s="10">
        <v>232</v>
      </c>
      <c r="AP330" s="10">
        <v>186</v>
      </c>
      <c r="AT330" s="10">
        <v>124</v>
      </c>
      <c r="AX330" s="10">
        <v>430</v>
      </c>
      <c r="BB330" s="10">
        <v>428</v>
      </c>
      <c r="BF330" s="10">
        <v>242</v>
      </c>
      <c r="BJ330" s="10">
        <v>403</v>
      </c>
      <c r="BN330" s="10">
        <v>423</v>
      </c>
      <c r="BR330" s="10">
        <v>274</v>
      </c>
      <c r="BV330" s="10">
        <v>305</v>
      </c>
      <c r="BZ330" s="10">
        <v>224</v>
      </c>
      <c r="CD330" s="10">
        <v>241</v>
      </c>
      <c r="CH330" s="10">
        <v>330</v>
      </c>
    </row>
    <row r="331" spans="1:88" hidden="1" x14ac:dyDescent="0.35">
      <c r="A331" s="12" t="s">
        <v>412</v>
      </c>
      <c r="B331">
        <v>0</v>
      </c>
      <c r="F331">
        <v>0</v>
      </c>
      <c r="J331">
        <v>0</v>
      </c>
      <c r="N331">
        <v>0</v>
      </c>
      <c r="R331">
        <v>0</v>
      </c>
      <c r="V331">
        <v>0</v>
      </c>
      <c r="Z331">
        <v>0</v>
      </c>
      <c r="AD331">
        <v>0</v>
      </c>
      <c r="AH331">
        <v>0</v>
      </c>
      <c r="AL331">
        <v>0</v>
      </c>
      <c r="AP331">
        <v>0</v>
      </c>
      <c r="AT331">
        <v>0</v>
      </c>
      <c r="AX331">
        <v>0</v>
      </c>
      <c r="BB331">
        <v>0</v>
      </c>
      <c r="BF331">
        <v>0</v>
      </c>
      <c r="BJ331">
        <v>0</v>
      </c>
      <c r="BN331">
        <v>0</v>
      </c>
      <c r="BR331">
        <v>0</v>
      </c>
      <c r="BV331">
        <v>0</v>
      </c>
      <c r="BZ331">
        <v>0</v>
      </c>
      <c r="CD331">
        <v>0</v>
      </c>
      <c r="CH331">
        <v>0</v>
      </c>
    </row>
    <row r="332" spans="1:88" hidden="1" x14ac:dyDescent="0.35">
      <c r="A332" s="12" t="s">
        <v>413</v>
      </c>
      <c r="B332">
        <v>0</v>
      </c>
      <c r="F332">
        <v>0</v>
      </c>
      <c r="J332">
        <v>0</v>
      </c>
      <c r="N332">
        <v>0</v>
      </c>
      <c r="R332">
        <v>0</v>
      </c>
      <c r="V332">
        <v>0</v>
      </c>
      <c r="Z332">
        <v>0</v>
      </c>
      <c r="AD332">
        <v>0</v>
      </c>
      <c r="AH332">
        <v>0</v>
      </c>
      <c r="AL332">
        <v>0</v>
      </c>
      <c r="AP332">
        <v>0</v>
      </c>
      <c r="AT332">
        <v>0</v>
      </c>
      <c r="AX332">
        <v>0</v>
      </c>
      <c r="BB332">
        <v>0</v>
      </c>
      <c r="BF332">
        <v>0</v>
      </c>
      <c r="BJ332">
        <v>0</v>
      </c>
      <c r="BN332">
        <v>0</v>
      </c>
      <c r="BR332">
        <v>0</v>
      </c>
      <c r="BV332">
        <v>0</v>
      </c>
      <c r="BZ332">
        <v>0</v>
      </c>
      <c r="CD332">
        <v>0</v>
      </c>
      <c r="CH332">
        <v>0</v>
      </c>
    </row>
    <row r="334" spans="1:88" x14ac:dyDescent="0.35">
      <c r="AB334" s="2" t="s">
        <v>3</v>
      </c>
      <c r="AF334" s="2" t="s">
        <v>4</v>
      </c>
      <c r="AJ334" s="2" t="s">
        <v>5</v>
      </c>
      <c r="AN334" s="2" t="s">
        <v>6</v>
      </c>
      <c r="AR334" s="2" t="s">
        <v>7</v>
      </c>
      <c r="AV334" s="2" t="s">
        <v>8</v>
      </c>
      <c r="AZ334" s="2" t="s">
        <v>3</v>
      </c>
      <c r="BD334" s="2" t="s">
        <v>4</v>
      </c>
      <c r="BH334" s="2" t="s">
        <v>5</v>
      </c>
      <c r="BL334" s="2" t="s">
        <v>3</v>
      </c>
      <c r="BP334" s="2" t="s">
        <v>4</v>
      </c>
      <c r="BT334" s="2" t="s">
        <v>5</v>
      </c>
      <c r="BX334" s="2" t="s">
        <v>3</v>
      </c>
      <c r="CB334" s="2" t="s">
        <v>4</v>
      </c>
      <c r="CF334" s="2" t="s">
        <v>5</v>
      </c>
      <c r="CJ334" s="2" t="s">
        <v>6</v>
      </c>
    </row>
    <row r="335" spans="1:88" s="3" customFormat="1" x14ac:dyDescent="0.35">
      <c r="A335" s="4" t="str">
        <f>HYPERLINK("#telly_emo!A1","Jaký pocit ze značky **Telly** máte?")</f>
        <v>Jaký pocit ze značky **Telly** máte?</v>
      </c>
      <c r="D335" s="5" t="s">
        <v>406</v>
      </c>
      <c r="H335" s="5" t="s">
        <v>406</v>
      </c>
      <c r="L335" s="5" t="s">
        <v>406</v>
      </c>
      <c r="P335" s="5" t="s">
        <v>406</v>
      </c>
      <c r="T335" s="5" t="s">
        <v>406</v>
      </c>
      <c r="X335" s="5" t="s">
        <v>406</v>
      </c>
      <c r="AB335" s="5" t="s">
        <v>406</v>
      </c>
      <c r="AF335" s="5" t="s">
        <v>406</v>
      </c>
      <c r="AJ335" s="5" t="s">
        <v>406</v>
      </c>
      <c r="AN335" s="5" t="s">
        <v>406</v>
      </c>
      <c r="AR335" s="5" t="s">
        <v>406</v>
      </c>
      <c r="AV335" s="5" t="s">
        <v>406</v>
      </c>
      <c r="AZ335" s="5" t="s">
        <v>406</v>
      </c>
      <c r="BD335" s="5" t="s">
        <v>406</v>
      </c>
      <c r="BH335" s="5" t="s">
        <v>406</v>
      </c>
      <c r="BL335" s="5" t="s">
        <v>406</v>
      </c>
      <c r="BP335" s="5" t="s">
        <v>406</v>
      </c>
      <c r="BT335" s="5" t="s">
        <v>406</v>
      </c>
      <c r="BX335" s="5" t="s">
        <v>406</v>
      </c>
      <c r="CB335" s="5" t="s">
        <v>406</v>
      </c>
      <c r="CF335" s="5" t="s">
        <v>406</v>
      </c>
      <c r="CJ335" s="5" t="s">
        <v>406</v>
      </c>
    </row>
    <row r="336" spans="1:88" x14ac:dyDescent="0.35">
      <c r="A336" s="1" t="s">
        <v>628</v>
      </c>
      <c r="B336">
        <v>21</v>
      </c>
      <c r="C336" s="6">
        <f>B336/B342</f>
        <v>6.4220183486238536E-2</v>
      </c>
      <c r="D336" s="6">
        <f>21/$D$3</f>
        <v>1.9090909090909092E-2</v>
      </c>
      <c r="F336">
        <v>21</v>
      </c>
      <c r="G336" s="6">
        <f>F336/F342</f>
        <v>7.0707070707070704E-2</v>
      </c>
      <c r="H336" s="6">
        <f>21/$H$3</f>
        <v>2.3051591657519209E-2</v>
      </c>
      <c r="J336">
        <v>11</v>
      </c>
      <c r="K336" s="6">
        <f>J336/J342</f>
        <v>6.7484662576687116E-2</v>
      </c>
      <c r="L336" s="6">
        <f>11/$L$3</f>
        <v>2.5345622119815669E-2</v>
      </c>
      <c r="N336">
        <v>2</v>
      </c>
      <c r="O336" s="6">
        <f>N336/N342</f>
        <v>7.6923076923076927E-2</v>
      </c>
      <c r="P336" s="6">
        <f>2/$P$3</f>
        <v>2.4691358024691357E-2</v>
      </c>
      <c r="R336">
        <v>15</v>
      </c>
      <c r="S336" s="6">
        <f>R336/R342</f>
        <v>6.9444444444444448E-2</v>
      </c>
      <c r="T336" s="6">
        <f>15/$T$3</f>
        <v>2.6785714285714284E-2</v>
      </c>
      <c r="V336">
        <v>6</v>
      </c>
      <c r="W336" s="6">
        <f>V336/V342</f>
        <v>5.4054054054054057E-2</v>
      </c>
      <c r="X336" s="6">
        <f>6/$X$3</f>
        <v>1.1111111111111112E-2</v>
      </c>
      <c r="Z336">
        <v>3</v>
      </c>
      <c r="AA336" s="6">
        <f>Z336/Z342</f>
        <v>0.10714285714285714</v>
      </c>
      <c r="AB336" s="6">
        <f>3/$AB$3</f>
        <v>2.6548672566371681E-2</v>
      </c>
      <c r="AD336">
        <v>2</v>
      </c>
      <c r="AE336" s="6">
        <f>AD336/AD342</f>
        <v>0.04</v>
      </c>
      <c r="AF336" s="6">
        <f>2/$AF$3</f>
        <v>1.0101010101010102E-2</v>
      </c>
      <c r="AH336">
        <v>6</v>
      </c>
      <c r="AI336" s="6">
        <f>AH336/AH342</f>
        <v>7.6923076923076927E-2</v>
      </c>
      <c r="AJ336" s="6">
        <f>6/$AJ$3</f>
        <v>2.4291497975708502E-2</v>
      </c>
      <c r="AL336">
        <v>4</v>
      </c>
      <c r="AM336" s="6">
        <f>AL336/AL342</f>
        <v>4.878048780487805E-2</v>
      </c>
      <c r="AN336" s="6">
        <f>4/$AN$3</f>
        <v>1.7241379310344827E-2</v>
      </c>
      <c r="AP336">
        <v>5</v>
      </c>
      <c r="AQ336" s="6">
        <f>AP336/AP342</f>
        <v>0.1</v>
      </c>
      <c r="AR336" s="6">
        <f>5/$AR$3</f>
        <v>2.6881720430107527E-2</v>
      </c>
      <c r="AT336">
        <v>1</v>
      </c>
      <c r="AU336" s="6">
        <f>AT336/AT342</f>
        <v>2.564102564102564E-2</v>
      </c>
      <c r="AV336" s="6">
        <f>1/$AV$3</f>
        <v>8.0645161290322578E-3</v>
      </c>
      <c r="AX336">
        <v>10</v>
      </c>
      <c r="AY336" s="6">
        <f>AX336/AX342</f>
        <v>8.9285714285714288E-2</v>
      </c>
      <c r="AZ336" s="6">
        <f>10/$AZ$3</f>
        <v>2.3255813953488372E-2</v>
      </c>
      <c r="BB336">
        <v>8</v>
      </c>
      <c r="BC336" s="6">
        <f>BB336/BB342</f>
        <v>5.2980132450331126E-2</v>
      </c>
      <c r="BD336" s="6">
        <f>8/$BD$3</f>
        <v>1.8691588785046728E-2</v>
      </c>
      <c r="BF336">
        <v>3</v>
      </c>
      <c r="BG336" s="6">
        <f>BF336/BF342</f>
        <v>4.6875E-2</v>
      </c>
      <c r="BH336" s="6">
        <f>3/$BH$3</f>
        <v>1.2396694214876033E-2</v>
      </c>
      <c r="BJ336">
        <v>7</v>
      </c>
      <c r="BK336" s="6">
        <f>BJ336/BJ342</f>
        <v>6.3063063063063057E-2</v>
      </c>
      <c r="BL336" s="6">
        <f>7/$BL$3</f>
        <v>1.7369727047146403E-2</v>
      </c>
      <c r="BN336">
        <v>6</v>
      </c>
      <c r="BO336" s="6">
        <f>BN336/BN342</f>
        <v>4.8387096774193547E-2</v>
      </c>
      <c r="BP336" s="6">
        <f>6/$BP$3</f>
        <v>1.4184397163120567E-2</v>
      </c>
      <c r="BR336">
        <v>8</v>
      </c>
      <c r="BS336" s="6">
        <f>BR336/BR342</f>
        <v>8.6956521739130432E-2</v>
      </c>
      <c r="BT336" s="6">
        <f>8/$BT$3</f>
        <v>2.9197080291970802E-2</v>
      </c>
      <c r="BV336">
        <v>5</v>
      </c>
      <c r="BW336" s="6">
        <f>BV336/BV342</f>
        <v>5.9523809523809521E-2</v>
      </c>
      <c r="BX336" s="6">
        <f>5/$BX$3</f>
        <v>1.6393442622950821E-2</v>
      </c>
      <c r="BZ336">
        <v>6</v>
      </c>
      <c r="CA336" s="6">
        <f>BZ336/BZ342</f>
        <v>9.375E-2</v>
      </c>
      <c r="CB336" s="6">
        <f>6/$CB$3</f>
        <v>2.6785714285714284E-2</v>
      </c>
      <c r="CD336">
        <v>2</v>
      </c>
      <c r="CE336" s="6">
        <f>CD336/CD342</f>
        <v>2.4390243902439025E-2</v>
      </c>
      <c r="CF336" s="6">
        <f>2/$CF$3</f>
        <v>8.2987551867219917E-3</v>
      </c>
      <c r="CH336">
        <v>8</v>
      </c>
      <c r="CI336" s="6">
        <f>CH336/CH342</f>
        <v>8.247422680412371E-2</v>
      </c>
      <c r="CJ336" s="6">
        <f>8/$CJ$3</f>
        <v>2.4242424242424242E-2</v>
      </c>
    </row>
    <row r="337" spans="1:88" x14ac:dyDescent="0.35">
      <c r="A337" s="1" t="s">
        <v>630</v>
      </c>
      <c r="B337">
        <v>88</v>
      </c>
      <c r="C337" s="6">
        <f>B337/B342</f>
        <v>0.26911314984709478</v>
      </c>
      <c r="D337" s="6">
        <f>88/$D$3</f>
        <v>0.08</v>
      </c>
      <c r="F337">
        <v>80</v>
      </c>
      <c r="G337" s="6">
        <f>F337/F342</f>
        <v>0.26936026936026936</v>
      </c>
      <c r="H337" s="6">
        <f>80/$H$3</f>
        <v>8.7815587266739853E-2</v>
      </c>
      <c r="J337">
        <v>43</v>
      </c>
      <c r="K337" s="6">
        <f>J337/J342</f>
        <v>0.26380368098159507</v>
      </c>
      <c r="L337" s="6">
        <f>43/$L$3</f>
        <v>9.9078341013824886E-2</v>
      </c>
      <c r="N337">
        <v>11</v>
      </c>
      <c r="O337" s="6">
        <f>N337/N342</f>
        <v>0.42307692307692307</v>
      </c>
      <c r="P337" s="6">
        <f>11/$P$3</f>
        <v>0.13580246913580246</v>
      </c>
      <c r="R337">
        <v>51</v>
      </c>
      <c r="S337" s="6">
        <f>R337/R342</f>
        <v>0.2361111111111111</v>
      </c>
      <c r="T337" s="6">
        <f>51/$T$3</f>
        <v>9.1071428571428567E-2</v>
      </c>
      <c r="V337">
        <v>37</v>
      </c>
      <c r="W337" s="6">
        <f>V337/V342</f>
        <v>0.33333333333333331</v>
      </c>
      <c r="X337" s="6">
        <f>37/$X$3</f>
        <v>6.851851851851852E-2</v>
      </c>
      <c r="Z337">
        <v>9</v>
      </c>
      <c r="AA337" s="6">
        <f>Z337/Z342</f>
        <v>0.32142857142857145</v>
      </c>
      <c r="AB337" s="6">
        <f>9/$AB$3</f>
        <v>7.9646017699115043E-2</v>
      </c>
      <c r="AD337">
        <v>13</v>
      </c>
      <c r="AE337" s="6">
        <f>AD337/AD342</f>
        <v>0.26</v>
      </c>
      <c r="AF337" s="6">
        <f>13/$AF$3</f>
        <v>6.5656565656565663E-2</v>
      </c>
      <c r="AH337">
        <v>23</v>
      </c>
      <c r="AI337" s="6">
        <f>AH337/AH342</f>
        <v>0.29487179487179488</v>
      </c>
      <c r="AJ337" s="6">
        <f>23/$AJ$3</f>
        <v>9.3117408906882596E-2</v>
      </c>
      <c r="AL337">
        <v>26</v>
      </c>
      <c r="AM337" s="6">
        <f>AL337/AL342</f>
        <v>0.31707317073170732</v>
      </c>
      <c r="AN337" s="6">
        <f>26/$AN$3</f>
        <v>0.11206896551724138</v>
      </c>
      <c r="AP337">
        <v>8</v>
      </c>
      <c r="AQ337" s="6">
        <f>AP337/AP342</f>
        <v>0.16</v>
      </c>
      <c r="AR337" s="6">
        <f>8/$AR$3</f>
        <v>4.3010752688172046E-2</v>
      </c>
      <c r="AT337">
        <v>9</v>
      </c>
      <c r="AU337" s="6">
        <f>AT337/AT342</f>
        <v>0.23076923076923078</v>
      </c>
      <c r="AV337" s="6">
        <f>9/$AV$3</f>
        <v>7.2580645161290328E-2</v>
      </c>
      <c r="AX337">
        <v>30</v>
      </c>
      <c r="AY337" s="6">
        <f>AX337/AX342</f>
        <v>0.26785714285714285</v>
      </c>
      <c r="AZ337" s="6">
        <f>30/$AZ$3</f>
        <v>6.9767441860465115E-2</v>
      </c>
      <c r="BB337">
        <v>42</v>
      </c>
      <c r="BC337" s="6">
        <f>BB337/BB342</f>
        <v>0.27814569536423839</v>
      </c>
      <c r="BD337" s="6">
        <f>42/$BD$3</f>
        <v>9.8130841121495324E-2</v>
      </c>
      <c r="BF337">
        <v>16</v>
      </c>
      <c r="BG337" s="6">
        <f>BF337/BF342</f>
        <v>0.25</v>
      </c>
      <c r="BH337" s="6">
        <f>16/$BH$3</f>
        <v>6.6115702479338845E-2</v>
      </c>
      <c r="BJ337">
        <v>39</v>
      </c>
      <c r="BK337" s="6">
        <f>BJ337/BJ342</f>
        <v>0.35135135135135137</v>
      </c>
      <c r="BL337" s="6">
        <f>39/$BL$3</f>
        <v>9.6774193548387094E-2</v>
      </c>
      <c r="BN337">
        <v>30</v>
      </c>
      <c r="BO337" s="6">
        <f>BN337/BN342</f>
        <v>0.24193548387096775</v>
      </c>
      <c r="BP337" s="6">
        <f>30/$BP$3</f>
        <v>7.0921985815602842E-2</v>
      </c>
      <c r="BR337">
        <v>19</v>
      </c>
      <c r="BS337" s="6">
        <f>BR337/BR342</f>
        <v>0.20652173913043478</v>
      </c>
      <c r="BT337" s="6">
        <f>19/$BT$3</f>
        <v>6.9343065693430656E-2</v>
      </c>
      <c r="BV337">
        <v>19</v>
      </c>
      <c r="BW337" s="6">
        <f>BV337/BV342</f>
        <v>0.22619047619047619</v>
      </c>
      <c r="BX337" s="6">
        <f>19/$BX$3</f>
        <v>6.2295081967213117E-2</v>
      </c>
      <c r="BZ337">
        <v>22</v>
      </c>
      <c r="CA337" s="6">
        <f>BZ337/BZ342</f>
        <v>0.34375</v>
      </c>
      <c r="CB337" s="6">
        <f>22/$CB$3</f>
        <v>9.8214285714285712E-2</v>
      </c>
      <c r="CD337">
        <v>25</v>
      </c>
      <c r="CE337" s="6">
        <f>CD337/CD342</f>
        <v>0.3048780487804878</v>
      </c>
      <c r="CF337" s="6">
        <f>25/$CF$3</f>
        <v>0.1037344398340249</v>
      </c>
      <c r="CH337">
        <v>22</v>
      </c>
      <c r="CI337" s="6">
        <f>CH337/CH342</f>
        <v>0.22680412371134021</v>
      </c>
      <c r="CJ337" s="6">
        <f>22/$CJ$3</f>
        <v>6.6666666666666666E-2</v>
      </c>
    </row>
    <row r="338" spans="1:88" x14ac:dyDescent="0.35">
      <c r="A338" s="1" t="s">
        <v>637</v>
      </c>
      <c r="B338">
        <v>190</v>
      </c>
      <c r="C338" s="6">
        <f>B338/B342</f>
        <v>0.58103975535168195</v>
      </c>
      <c r="D338" s="6">
        <f>190/$D$3</f>
        <v>0.17272727272727273</v>
      </c>
      <c r="F338">
        <v>172</v>
      </c>
      <c r="G338" s="6">
        <f>F338/F342</f>
        <v>0.57912457912457915</v>
      </c>
      <c r="H338" s="6">
        <f>172/$H$3</f>
        <v>0.18880351262349068</v>
      </c>
      <c r="J338">
        <v>95</v>
      </c>
      <c r="K338" s="6">
        <f>J338/J342</f>
        <v>0.58282208588957052</v>
      </c>
      <c r="L338" s="6">
        <f>95/$L$3</f>
        <v>0.21889400921658986</v>
      </c>
      <c r="N338">
        <v>12</v>
      </c>
      <c r="O338" s="6">
        <f>N338/N342</f>
        <v>0.46153846153846156</v>
      </c>
      <c r="P338" s="6">
        <f>12/$P$3</f>
        <v>0.14814814814814814</v>
      </c>
      <c r="R338">
        <v>127</v>
      </c>
      <c r="S338" s="6">
        <f>R338/R342</f>
        <v>0.58796296296296291</v>
      </c>
      <c r="T338" s="9">
        <f>127/$T$3</f>
        <v>0.22678571428571428</v>
      </c>
      <c r="V338">
        <v>63</v>
      </c>
      <c r="W338" s="6">
        <f>V338/V342</f>
        <v>0.56756756756756754</v>
      </c>
      <c r="X338" s="8">
        <f>63/$X$3</f>
        <v>0.11666666666666667</v>
      </c>
      <c r="Z338">
        <v>14</v>
      </c>
      <c r="AA338" s="6">
        <f>Z338/Z342</f>
        <v>0.5</v>
      </c>
      <c r="AB338" s="6">
        <f>14/$AB$3</f>
        <v>0.12389380530973451</v>
      </c>
      <c r="AD338">
        <v>31</v>
      </c>
      <c r="AE338" s="6">
        <f>AD338/AD342</f>
        <v>0.62</v>
      </c>
      <c r="AF338" s="6">
        <f>31/$AF$3</f>
        <v>0.15656565656565657</v>
      </c>
      <c r="AH338">
        <v>40</v>
      </c>
      <c r="AI338" s="6">
        <f>AH338/AH342</f>
        <v>0.51282051282051277</v>
      </c>
      <c r="AJ338" s="6">
        <f>40/$AJ$3</f>
        <v>0.16194331983805668</v>
      </c>
      <c r="AL338">
        <v>46</v>
      </c>
      <c r="AM338" s="6">
        <f>AL338/AL342</f>
        <v>0.56097560975609762</v>
      </c>
      <c r="AN338" s="6">
        <f>46/$AN$3</f>
        <v>0.19827586206896552</v>
      </c>
      <c r="AP338">
        <v>33</v>
      </c>
      <c r="AQ338" s="6">
        <f>AP338/AP342</f>
        <v>0.66</v>
      </c>
      <c r="AR338" s="6">
        <f>33/$AR$3</f>
        <v>0.17741935483870969</v>
      </c>
      <c r="AT338">
        <v>26</v>
      </c>
      <c r="AU338" s="6">
        <f>AT338/AT342</f>
        <v>0.66666666666666663</v>
      </c>
      <c r="AV338" s="6">
        <f>26/$AV$3</f>
        <v>0.20967741935483872</v>
      </c>
      <c r="AX338">
        <v>61</v>
      </c>
      <c r="AY338" s="6">
        <f>AX338/AX342</f>
        <v>0.5446428571428571</v>
      </c>
      <c r="AZ338" s="6">
        <f>61/$AZ$3</f>
        <v>0.14186046511627906</v>
      </c>
      <c r="BB338">
        <v>89</v>
      </c>
      <c r="BC338" s="6">
        <f>BB338/BB342</f>
        <v>0.58940397350993379</v>
      </c>
      <c r="BD338" s="6">
        <f>89/$BD$3</f>
        <v>0.20794392523364486</v>
      </c>
      <c r="BF338">
        <v>40</v>
      </c>
      <c r="BG338" s="6">
        <f>BF338/BF342</f>
        <v>0.625</v>
      </c>
      <c r="BH338" s="6">
        <f>40/$BH$3</f>
        <v>0.16528925619834711</v>
      </c>
      <c r="BJ338">
        <v>54</v>
      </c>
      <c r="BK338" s="6">
        <f>BJ338/BJ342</f>
        <v>0.48648648648648651</v>
      </c>
      <c r="BL338" s="6">
        <f>54/$BL$3</f>
        <v>0.13399503722084366</v>
      </c>
      <c r="BN338">
        <v>79</v>
      </c>
      <c r="BO338" s="6">
        <f>BN338/BN342</f>
        <v>0.63709677419354838</v>
      </c>
      <c r="BP338" s="6">
        <f>79/$BP$3</f>
        <v>0.1867612293144208</v>
      </c>
      <c r="BR338">
        <v>57</v>
      </c>
      <c r="BS338" s="6">
        <f>BR338/BR342</f>
        <v>0.61956521739130432</v>
      </c>
      <c r="BT338" s="6">
        <f>57/$BT$3</f>
        <v>0.20802919708029197</v>
      </c>
      <c r="BV338">
        <v>52</v>
      </c>
      <c r="BW338" s="6">
        <f>BV338/BV342</f>
        <v>0.61904761904761907</v>
      </c>
      <c r="BX338" s="6">
        <f>52/$BX$3</f>
        <v>0.17049180327868851</v>
      </c>
      <c r="BZ338">
        <v>32</v>
      </c>
      <c r="CA338" s="6">
        <f>BZ338/BZ342</f>
        <v>0.5</v>
      </c>
      <c r="CB338" s="6">
        <f>32/$CB$3</f>
        <v>0.14285714285714285</v>
      </c>
      <c r="CD338">
        <v>51</v>
      </c>
      <c r="CE338" s="6">
        <f>CD338/CD342</f>
        <v>0.62195121951219512</v>
      </c>
      <c r="CF338" s="6">
        <f>51/$CF$3</f>
        <v>0.21161825726141079</v>
      </c>
      <c r="CH338">
        <v>55</v>
      </c>
      <c r="CI338" s="6">
        <f>CH338/CH342</f>
        <v>0.5670103092783505</v>
      </c>
      <c r="CJ338" s="6">
        <f>55/$CJ$3</f>
        <v>0.16666666666666666</v>
      </c>
    </row>
    <row r="339" spans="1:88" x14ac:dyDescent="0.35">
      <c r="A339" s="1" t="s">
        <v>632</v>
      </c>
      <c r="B339">
        <v>19</v>
      </c>
      <c r="C339" s="6">
        <f>B339/B342</f>
        <v>5.8103975535168197E-2</v>
      </c>
      <c r="D339" s="6">
        <f>19/$D$3</f>
        <v>1.7272727272727273E-2</v>
      </c>
      <c r="F339">
        <v>18</v>
      </c>
      <c r="G339" s="6">
        <f>F339/F342</f>
        <v>6.0606060606060608E-2</v>
      </c>
      <c r="H339" s="6">
        <f>18/$H$3</f>
        <v>1.9758507135016465E-2</v>
      </c>
      <c r="J339">
        <v>11</v>
      </c>
      <c r="K339" s="6">
        <f>J339/J342</f>
        <v>6.7484662576687116E-2</v>
      </c>
      <c r="L339" s="6">
        <f>11/$L$3</f>
        <v>2.5345622119815669E-2</v>
      </c>
      <c r="N339">
        <v>1</v>
      </c>
      <c r="O339" s="6">
        <f>N339/N342</f>
        <v>3.8461538461538464E-2</v>
      </c>
      <c r="P339" s="6">
        <f>1/$P$3</f>
        <v>1.2345679012345678E-2</v>
      </c>
      <c r="R339">
        <v>17</v>
      </c>
      <c r="S339" s="6">
        <f>R339/R342</f>
        <v>7.8703703703703706E-2</v>
      </c>
      <c r="T339" s="6">
        <f>17/$T$3</f>
        <v>3.0357142857142857E-2</v>
      </c>
      <c r="V339">
        <v>2</v>
      </c>
      <c r="W339" s="6">
        <f>V339/V342</f>
        <v>1.8018018018018018E-2</v>
      </c>
      <c r="X339" s="6">
        <f>2/$X$3</f>
        <v>3.7037037037037038E-3</v>
      </c>
      <c r="Z339">
        <v>1</v>
      </c>
      <c r="AA339" s="6">
        <f>Z339/Z342</f>
        <v>3.5714285714285712E-2</v>
      </c>
      <c r="AB339" s="6">
        <f>1/$AB$3</f>
        <v>8.8495575221238937E-3</v>
      </c>
      <c r="AD339">
        <v>4</v>
      </c>
      <c r="AE339" s="6">
        <f>AD339/AD342</f>
        <v>0.08</v>
      </c>
      <c r="AF339" s="6">
        <f>4/$AF$3</f>
        <v>2.0202020202020204E-2</v>
      </c>
      <c r="AH339">
        <v>6</v>
      </c>
      <c r="AI339" s="6">
        <f>AH339/AH342</f>
        <v>7.6923076923076927E-2</v>
      </c>
      <c r="AJ339" s="6">
        <f>6/$AJ$3</f>
        <v>2.4291497975708502E-2</v>
      </c>
      <c r="AL339">
        <v>4</v>
      </c>
      <c r="AM339" s="6">
        <f>AL339/AL342</f>
        <v>4.878048780487805E-2</v>
      </c>
      <c r="AN339" s="6">
        <f>4/$AN$3</f>
        <v>1.7241379310344827E-2</v>
      </c>
      <c r="AP339">
        <v>2</v>
      </c>
      <c r="AQ339" s="6">
        <f>AP339/AP342</f>
        <v>0.04</v>
      </c>
      <c r="AR339" s="6">
        <f>2/$AR$3</f>
        <v>1.0752688172043012E-2</v>
      </c>
      <c r="AT339">
        <v>2</v>
      </c>
      <c r="AU339" s="6">
        <f>AT339/AT342</f>
        <v>5.128205128205128E-2</v>
      </c>
      <c r="AV339" s="6">
        <f>2/$AV$3</f>
        <v>1.6129032258064516E-2</v>
      </c>
      <c r="AX339">
        <v>7</v>
      </c>
      <c r="AY339" s="6">
        <f>AX339/AX342</f>
        <v>6.25E-2</v>
      </c>
      <c r="AZ339" s="6">
        <f>7/$AZ$3</f>
        <v>1.627906976744186E-2</v>
      </c>
      <c r="BB339">
        <v>8</v>
      </c>
      <c r="BC339" s="6">
        <f>BB339/BB342</f>
        <v>5.2980132450331126E-2</v>
      </c>
      <c r="BD339" s="6">
        <f>8/$BD$3</f>
        <v>1.8691588785046728E-2</v>
      </c>
      <c r="BF339">
        <v>4</v>
      </c>
      <c r="BG339" s="6">
        <f>BF339/BF342</f>
        <v>6.25E-2</v>
      </c>
      <c r="BH339" s="6">
        <f>4/$BH$3</f>
        <v>1.6528925619834711E-2</v>
      </c>
      <c r="BJ339">
        <v>5</v>
      </c>
      <c r="BK339" s="6">
        <f>BJ339/BJ342</f>
        <v>4.5045045045045043E-2</v>
      </c>
      <c r="BL339" s="6">
        <f>5/$BL$3</f>
        <v>1.2406947890818859E-2</v>
      </c>
      <c r="BN339">
        <v>7</v>
      </c>
      <c r="BO339" s="6">
        <f>BN339/BN342</f>
        <v>5.6451612903225805E-2</v>
      </c>
      <c r="BP339" s="6">
        <f>7/$BP$3</f>
        <v>1.6548463356973995E-2</v>
      </c>
      <c r="BR339">
        <v>7</v>
      </c>
      <c r="BS339" s="6">
        <f>BR339/BR342</f>
        <v>7.6086956521739135E-2</v>
      </c>
      <c r="BT339" s="6">
        <f>7/$BT$3</f>
        <v>2.5547445255474453E-2</v>
      </c>
      <c r="BV339">
        <v>4</v>
      </c>
      <c r="BW339" s="6">
        <f>BV339/BV342</f>
        <v>4.7619047619047616E-2</v>
      </c>
      <c r="BX339" s="6">
        <f>4/$BX$3</f>
        <v>1.3114754098360656E-2</v>
      </c>
      <c r="BZ339">
        <v>2</v>
      </c>
      <c r="CA339" s="6">
        <f>BZ339/BZ342</f>
        <v>3.125E-2</v>
      </c>
      <c r="CB339" s="6">
        <f>2/$CB$3</f>
        <v>8.9285714285714281E-3</v>
      </c>
      <c r="CD339">
        <v>3</v>
      </c>
      <c r="CE339" s="6">
        <f>CD339/CD342</f>
        <v>3.6585365853658534E-2</v>
      </c>
      <c r="CF339" s="6">
        <f>3/$CF$3</f>
        <v>1.2448132780082987E-2</v>
      </c>
      <c r="CH339">
        <v>10</v>
      </c>
      <c r="CI339" s="6">
        <f>CH339/CH342</f>
        <v>0.10309278350515463</v>
      </c>
      <c r="CJ339" s="6">
        <f>10/$CJ$3</f>
        <v>3.0303030303030304E-2</v>
      </c>
    </row>
    <row r="340" spans="1:88" x14ac:dyDescent="0.35">
      <c r="A340" s="1" t="s">
        <v>646</v>
      </c>
      <c r="B340">
        <v>9</v>
      </c>
      <c r="C340" s="6">
        <f>B340/B342</f>
        <v>2.7522935779816515E-2</v>
      </c>
      <c r="D340" s="6">
        <f>9/$D$3</f>
        <v>8.1818181818181825E-3</v>
      </c>
      <c r="F340">
        <v>6</v>
      </c>
      <c r="G340" s="6">
        <f>F340/F342</f>
        <v>2.0202020202020204E-2</v>
      </c>
      <c r="H340" s="6">
        <f>6/$H$3</f>
        <v>6.5861690450054883E-3</v>
      </c>
      <c r="J340">
        <v>3</v>
      </c>
      <c r="K340" s="6">
        <f>J340/J342</f>
        <v>1.8404907975460124E-2</v>
      </c>
      <c r="L340" s="6">
        <f>3/$L$3</f>
        <v>6.9124423963133645E-3</v>
      </c>
      <c r="N340">
        <v>0</v>
      </c>
      <c r="O340" s="6">
        <f>N340/N342</f>
        <v>0</v>
      </c>
      <c r="P340" s="6">
        <f>0/$P$3</f>
        <v>0</v>
      </c>
      <c r="R340">
        <v>6</v>
      </c>
      <c r="S340" s="6">
        <f>R340/R342</f>
        <v>2.7777777777777776E-2</v>
      </c>
      <c r="T340" s="6">
        <f>6/$T$3</f>
        <v>1.0714285714285714E-2</v>
      </c>
      <c r="V340">
        <v>3</v>
      </c>
      <c r="W340" s="6">
        <f>V340/V342</f>
        <v>2.7027027027027029E-2</v>
      </c>
      <c r="X340" s="6">
        <f>3/$X$3</f>
        <v>5.5555555555555558E-3</v>
      </c>
      <c r="Z340">
        <v>1</v>
      </c>
      <c r="AA340" s="6">
        <f>Z340/Z342</f>
        <v>3.5714285714285712E-2</v>
      </c>
      <c r="AB340" s="6">
        <f>1/$AB$3</f>
        <v>8.8495575221238937E-3</v>
      </c>
      <c r="AD340">
        <v>0</v>
      </c>
      <c r="AE340" s="6">
        <f>AD340/AD342</f>
        <v>0</v>
      </c>
      <c r="AF340" s="6">
        <f>0/$AF$3</f>
        <v>0</v>
      </c>
      <c r="AH340">
        <v>3</v>
      </c>
      <c r="AI340" s="6">
        <f>AH340/AH342</f>
        <v>3.8461538461538464E-2</v>
      </c>
      <c r="AJ340" s="6">
        <f>3/$AJ$3</f>
        <v>1.2145748987854251E-2</v>
      </c>
      <c r="AL340">
        <v>2</v>
      </c>
      <c r="AM340" s="6">
        <f>AL340/AL342</f>
        <v>2.4390243902439025E-2</v>
      </c>
      <c r="AN340" s="6">
        <f>2/$AN$3</f>
        <v>8.6206896551724137E-3</v>
      </c>
      <c r="AP340">
        <v>2</v>
      </c>
      <c r="AQ340" s="6">
        <f>AP340/AP342</f>
        <v>0.04</v>
      </c>
      <c r="AR340" s="6">
        <f>2/$AR$3</f>
        <v>1.0752688172043012E-2</v>
      </c>
      <c r="AT340">
        <v>1</v>
      </c>
      <c r="AU340" s="6">
        <f>AT340/AT342</f>
        <v>2.564102564102564E-2</v>
      </c>
      <c r="AV340" s="6">
        <f>1/$AV$3</f>
        <v>8.0645161290322578E-3</v>
      </c>
      <c r="AX340">
        <v>4</v>
      </c>
      <c r="AY340" s="6">
        <f>AX340/AX342</f>
        <v>3.5714285714285712E-2</v>
      </c>
      <c r="AZ340" s="6">
        <f>4/$AZ$3</f>
        <v>9.3023255813953487E-3</v>
      </c>
      <c r="BB340">
        <v>4</v>
      </c>
      <c r="BC340" s="6">
        <f>BB340/BB342</f>
        <v>2.6490066225165563E-2</v>
      </c>
      <c r="BD340" s="6">
        <f>4/$BD$3</f>
        <v>9.3457943925233638E-3</v>
      </c>
      <c r="BF340">
        <v>1</v>
      </c>
      <c r="BG340" s="6">
        <f>BF340/BF342</f>
        <v>1.5625E-2</v>
      </c>
      <c r="BH340" s="6">
        <f>1/$BH$3</f>
        <v>4.1322314049586778E-3</v>
      </c>
      <c r="BJ340">
        <v>6</v>
      </c>
      <c r="BK340" s="6">
        <f>BJ340/BJ342</f>
        <v>5.4054054054054057E-2</v>
      </c>
      <c r="BL340" s="6">
        <f>6/$BL$3</f>
        <v>1.488833746898263E-2</v>
      </c>
      <c r="BN340">
        <v>2</v>
      </c>
      <c r="BO340" s="6">
        <f>BN340/BN342</f>
        <v>1.6129032258064516E-2</v>
      </c>
      <c r="BP340" s="6">
        <f>2/$BP$3</f>
        <v>4.7281323877068557E-3</v>
      </c>
      <c r="BR340">
        <v>1</v>
      </c>
      <c r="BS340" s="6">
        <f>BR340/BR342</f>
        <v>1.0869565217391304E-2</v>
      </c>
      <c r="BT340" s="6">
        <f>1/$BT$3</f>
        <v>3.6496350364963502E-3</v>
      </c>
      <c r="BV340">
        <v>4</v>
      </c>
      <c r="BW340" s="6">
        <f>BV340/BV342</f>
        <v>4.7619047619047616E-2</v>
      </c>
      <c r="BX340" s="6">
        <f>4/$BX$3</f>
        <v>1.3114754098360656E-2</v>
      </c>
      <c r="BZ340">
        <v>2</v>
      </c>
      <c r="CA340" s="6">
        <f>BZ340/BZ342</f>
        <v>3.125E-2</v>
      </c>
      <c r="CB340" s="6">
        <f>2/$CB$3</f>
        <v>8.9285714285714281E-3</v>
      </c>
      <c r="CD340">
        <v>1</v>
      </c>
      <c r="CE340" s="6">
        <f>CD340/CD342</f>
        <v>1.2195121951219513E-2</v>
      </c>
      <c r="CF340" s="6">
        <f>1/$CF$3</f>
        <v>4.1493775933609959E-3</v>
      </c>
      <c r="CH340">
        <v>2</v>
      </c>
      <c r="CI340" s="6">
        <f>CH340/CH342</f>
        <v>2.0618556701030927E-2</v>
      </c>
      <c r="CJ340" s="6">
        <f>2/$CJ$3</f>
        <v>6.0606060606060606E-3</v>
      </c>
    </row>
    <row r="341" spans="1:88" x14ac:dyDescent="0.35">
      <c r="A341" s="1" t="s">
        <v>409</v>
      </c>
      <c r="B341">
        <v>0</v>
      </c>
      <c r="C341" s="6">
        <f>B341/B342</f>
        <v>0</v>
      </c>
      <c r="D341" s="6">
        <f>0/$D$3</f>
        <v>0</v>
      </c>
      <c r="F341">
        <v>0</v>
      </c>
      <c r="G341" s="6">
        <f>F341/F342</f>
        <v>0</v>
      </c>
      <c r="H341" s="6">
        <f>0/$H$3</f>
        <v>0</v>
      </c>
      <c r="J341">
        <v>0</v>
      </c>
      <c r="K341" s="6">
        <f>J341/J342</f>
        <v>0</v>
      </c>
      <c r="L341" s="6">
        <f>0/$L$3</f>
        <v>0</v>
      </c>
      <c r="N341">
        <v>0</v>
      </c>
      <c r="O341" s="6">
        <f>N341/N342</f>
        <v>0</v>
      </c>
      <c r="P341" s="6">
        <f>0/$P$3</f>
        <v>0</v>
      </c>
      <c r="R341">
        <v>0</v>
      </c>
      <c r="S341" s="6">
        <f>R341/R342</f>
        <v>0</v>
      </c>
      <c r="T341" s="6">
        <f>0/$T$3</f>
        <v>0</v>
      </c>
      <c r="V341">
        <v>0</v>
      </c>
      <c r="W341" s="6">
        <f>V341/V342</f>
        <v>0</v>
      </c>
      <c r="X341" s="6">
        <f>0/$X$3</f>
        <v>0</v>
      </c>
      <c r="Z341">
        <v>0</v>
      </c>
      <c r="AA341" s="6">
        <f>Z341/Z342</f>
        <v>0</v>
      </c>
      <c r="AB341" s="6">
        <f>0/$AB$3</f>
        <v>0</v>
      </c>
      <c r="AD341">
        <v>0</v>
      </c>
      <c r="AE341" s="6">
        <f>AD341/AD342</f>
        <v>0</v>
      </c>
      <c r="AF341" s="6">
        <f>0/$AF$3</f>
        <v>0</v>
      </c>
      <c r="AH341">
        <v>0</v>
      </c>
      <c r="AI341" s="6">
        <f>AH341/AH342</f>
        <v>0</v>
      </c>
      <c r="AJ341" s="6">
        <f>0/$AJ$3</f>
        <v>0</v>
      </c>
      <c r="AL341">
        <v>0</v>
      </c>
      <c r="AM341" s="6">
        <f>AL341/AL342</f>
        <v>0</v>
      </c>
      <c r="AN341" s="6">
        <f>0/$AN$3</f>
        <v>0</v>
      </c>
      <c r="AP341">
        <v>0</v>
      </c>
      <c r="AQ341" s="6">
        <f>AP341/AP342</f>
        <v>0</v>
      </c>
      <c r="AR341" s="6">
        <f>0/$AR$3</f>
        <v>0</v>
      </c>
      <c r="AT341">
        <v>0</v>
      </c>
      <c r="AU341" s="6">
        <f>AT341/AT342</f>
        <v>0</v>
      </c>
      <c r="AV341" s="6">
        <f>0/$AV$3</f>
        <v>0</v>
      </c>
      <c r="AX341">
        <v>0</v>
      </c>
      <c r="AY341" s="6">
        <f>AX341/AX342</f>
        <v>0</v>
      </c>
      <c r="AZ341" s="6">
        <f>0/$AZ$3</f>
        <v>0</v>
      </c>
      <c r="BB341">
        <v>0</v>
      </c>
      <c r="BC341" s="6">
        <f>BB341/BB342</f>
        <v>0</v>
      </c>
      <c r="BD341" s="6">
        <f>0/$BD$3</f>
        <v>0</v>
      </c>
      <c r="BF341">
        <v>0</v>
      </c>
      <c r="BG341" s="6">
        <f>BF341/BF342</f>
        <v>0</v>
      </c>
      <c r="BH341" s="6">
        <f>0/$BH$3</f>
        <v>0</v>
      </c>
      <c r="BJ341">
        <v>0</v>
      </c>
      <c r="BK341" s="6">
        <f>BJ341/BJ342</f>
        <v>0</v>
      </c>
      <c r="BL341" s="6">
        <f>0/$BL$3</f>
        <v>0</v>
      </c>
      <c r="BN341">
        <v>0</v>
      </c>
      <c r="BO341" s="6">
        <f>BN341/BN342</f>
        <v>0</v>
      </c>
      <c r="BP341" s="6">
        <f>0/$BP$3</f>
        <v>0</v>
      </c>
      <c r="BR341">
        <v>0</v>
      </c>
      <c r="BS341" s="6">
        <f>BR341/BR342</f>
        <v>0</v>
      </c>
      <c r="BT341" s="6">
        <f>0/$BT$3</f>
        <v>0</v>
      </c>
      <c r="BV341">
        <v>0</v>
      </c>
      <c r="BW341" s="6">
        <f>BV341/BV342</f>
        <v>0</v>
      </c>
      <c r="BX341" s="6">
        <f>0/$BX$3</f>
        <v>0</v>
      </c>
      <c r="BZ341">
        <v>0</v>
      </c>
      <c r="CA341" s="6">
        <f>BZ341/BZ342</f>
        <v>0</v>
      </c>
      <c r="CB341" s="6">
        <f>0/$CB$3</f>
        <v>0</v>
      </c>
      <c r="CD341">
        <v>0</v>
      </c>
      <c r="CE341" s="6">
        <f>CD341/CD342</f>
        <v>0</v>
      </c>
      <c r="CF341" s="6">
        <f>0/$CF$3</f>
        <v>0</v>
      </c>
      <c r="CH341">
        <v>0</v>
      </c>
      <c r="CI341" s="6">
        <f>CH341/CH342</f>
        <v>0</v>
      </c>
      <c r="CJ341" s="6">
        <f>0/$CJ$3</f>
        <v>0</v>
      </c>
    </row>
    <row r="342" spans="1:88" s="10" customFormat="1" x14ac:dyDescent="0.35">
      <c r="A342" s="11" t="s">
        <v>411</v>
      </c>
      <c r="B342" s="10">
        <v>327</v>
      </c>
      <c r="F342" s="10">
        <v>297</v>
      </c>
      <c r="J342" s="10">
        <v>163</v>
      </c>
      <c r="N342" s="10">
        <v>26</v>
      </c>
      <c r="R342" s="10">
        <v>216</v>
      </c>
      <c r="V342" s="10">
        <v>111</v>
      </c>
      <c r="Z342" s="10">
        <v>28</v>
      </c>
      <c r="AD342" s="10">
        <v>50</v>
      </c>
      <c r="AH342" s="10">
        <v>78</v>
      </c>
      <c r="AL342" s="10">
        <v>82</v>
      </c>
      <c r="AP342" s="10">
        <v>50</v>
      </c>
      <c r="AT342" s="10">
        <v>39</v>
      </c>
      <c r="AX342" s="10">
        <v>112</v>
      </c>
      <c r="BB342" s="10">
        <v>151</v>
      </c>
      <c r="BF342" s="10">
        <v>64</v>
      </c>
      <c r="BJ342" s="10">
        <v>111</v>
      </c>
      <c r="BN342" s="10">
        <v>124</v>
      </c>
      <c r="BR342" s="10">
        <v>92</v>
      </c>
      <c r="BV342" s="10">
        <v>84</v>
      </c>
      <c r="BZ342" s="10">
        <v>64</v>
      </c>
      <c r="CD342" s="10">
        <v>82</v>
      </c>
      <c r="CH342" s="10">
        <v>97</v>
      </c>
    </row>
    <row r="343" spans="1:88" hidden="1" x14ac:dyDescent="0.35">
      <c r="A343" s="12" t="s">
        <v>412</v>
      </c>
      <c r="B343">
        <v>0</v>
      </c>
      <c r="F343">
        <v>0</v>
      </c>
      <c r="J343">
        <v>0</v>
      </c>
      <c r="N343">
        <v>0</v>
      </c>
      <c r="R343">
        <v>0</v>
      </c>
      <c r="V343">
        <v>0</v>
      </c>
      <c r="Z343">
        <v>0</v>
      </c>
      <c r="AD343">
        <v>0</v>
      </c>
      <c r="AH343">
        <v>0</v>
      </c>
      <c r="AL343">
        <v>0</v>
      </c>
      <c r="AP343">
        <v>0</v>
      </c>
      <c r="AT343">
        <v>0</v>
      </c>
      <c r="AX343">
        <v>0</v>
      </c>
      <c r="BB343">
        <v>0</v>
      </c>
      <c r="BF343">
        <v>0</v>
      </c>
      <c r="BJ343">
        <v>0</v>
      </c>
      <c r="BN343">
        <v>0</v>
      </c>
      <c r="BR343">
        <v>0</v>
      </c>
      <c r="BV343">
        <v>0</v>
      </c>
      <c r="BZ343">
        <v>0</v>
      </c>
      <c r="CD343">
        <v>0</v>
      </c>
      <c r="CH343">
        <v>0</v>
      </c>
    </row>
    <row r="344" spans="1:88" s="13" customFormat="1" x14ac:dyDescent="0.35">
      <c r="A344" s="12" t="s">
        <v>413</v>
      </c>
      <c r="B344" s="13">
        <v>773</v>
      </c>
      <c r="F344" s="13">
        <v>614</v>
      </c>
      <c r="J344" s="13">
        <v>271</v>
      </c>
      <c r="N344" s="13">
        <v>55</v>
      </c>
      <c r="R344" s="13">
        <v>344</v>
      </c>
      <c r="V344" s="13">
        <v>429</v>
      </c>
      <c r="Z344" s="13">
        <v>85</v>
      </c>
      <c r="AD344" s="13">
        <v>148</v>
      </c>
      <c r="AH344" s="13">
        <v>169</v>
      </c>
      <c r="AL344" s="13">
        <v>150</v>
      </c>
      <c r="AP344" s="13">
        <v>136</v>
      </c>
      <c r="AT344" s="13">
        <v>85</v>
      </c>
      <c r="AX344" s="13">
        <v>318</v>
      </c>
      <c r="BB344" s="13">
        <v>277</v>
      </c>
      <c r="BF344" s="13">
        <v>178</v>
      </c>
      <c r="BJ344" s="13">
        <v>292</v>
      </c>
      <c r="BN344" s="13">
        <v>299</v>
      </c>
      <c r="BR344" s="13">
        <v>182</v>
      </c>
      <c r="BV344" s="13">
        <v>221</v>
      </c>
      <c r="BZ344" s="13">
        <v>160</v>
      </c>
      <c r="CD344" s="13">
        <v>159</v>
      </c>
      <c r="CH344" s="13">
        <v>233</v>
      </c>
    </row>
    <row r="346" spans="1:88" x14ac:dyDescent="0.35">
      <c r="AB346" s="2" t="s">
        <v>3</v>
      </c>
      <c r="AF346" s="2" t="s">
        <v>4</v>
      </c>
      <c r="AJ346" s="2" t="s">
        <v>5</v>
      </c>
      <c r="AN346" s="2" t="s">
        <v>6</v>
      </c>
      <c r="AR346" s="2" t="s">
        <v>7</v>
      </c>
      <c r="AV346" s="2" t="s">
        <v>8</v>
      </c>
      <c r="AZ346" s="2" t="s">
        <v>3</v>
      </c>
      <c r="BD346" s="2" t="s">
        <v>4</v>
      </c>
      <c r="BH346" s="2" t="s">
        <v>5</v>
      </c>
      <c r="BL346" s="2" t="s">
        <v>3</v>
      </c>
      <c r="BP346" s="2" t="s">
        <v>4</v>
      </c>
      <c r="BT346" s="2" t="s">
        <v>5</v>
      </c>
      <c r="BX346" s="2" t="s">
        <v>3</v>
      </c>
      <c r="CB346" s="2" t="s">
        <v>4</v>
      </c>
      <c r="CF346" s="2" t="s">
        <v>5</v>
      </c>
      <c r="CJ346" s="2" t="s">
        <v>6</v>
      </c>
    </row>
    <row r="347" spans="1:88" s="3" customFormat="1" x14ac:dyDescent="0.35">
      <c r="A347" s="3" t="s">
        <v>749</v>
      </c>
      <c r="D347" s="5" t="s">
        <v>406</v>
      </c>
      <c r="H347" s="5" t="s">
        <v>406</v>
      </c>
      <c r="L347" s="5" t="s">
        <v>406</v>
      </c>
      <c r="P347" s="5" t="s">
        <v>406</v>
      </c>
      <c r="T347" s="5" t="s">
        <v>406</v>
      </c>
      <c r="X347" s="5" t="s">
        <v>406</v>
      </c>
      <c r="AB347" s="5" t="s">
        <v>406</v>
      </c>
      <c r="AF347" s="5" t="s">
        <v>406</v>
      </c>
      <c r="AJ347" s="5" t="s">
        <v>406</v>
      </c>
      <c r="AN347" s="5" t="s">
        <v>406</v>
      </c>
      <c r="AR347" s="5" t="s">
        <v>406</v>
      </c>
      <c r="AV347" s="5" t="s">
        <v>406</v>
      </c>
      <c r="AZ347" s="5" t="s">
        <v>406</v>
      </c>
      <c r="BD347" s="5" t="s">
        <v>406</v>
      </c>
      <c r="BH347" s="5" t="s">
        <v>406</v>
      </c>
      <c r="BL347" s="5" t="s">
        <v>406</v>
      </c>
      <c r="BP347" s="5" t="s">
        <v>406</v>
      </c>
      <c r="BT347" s="5" t="s">
        <v>406</v>
      </c>
      <c r="BX347" s="5" t="s">
        <v>406</v>
      </c>
      <c r="CB347" s="5" t="s">
        <v>406</v>
      </c>
      <c r="CF347" s="5" t="s">
        <v>406</v>
      </c>
      <c r="CJ347" s="5" t="s">
        <v>406</v>
      </c>
    </row>
    <row r="348" spans="1:88" x14ac:dyDescent="0.35">
      <c r="A348" s="1" t="s">
        <v>750</v>
      </c>
      <c r="B348">
        <v>9</v>
      </c>
      <c r="C348" s="6">
        <f>B348/B352</f>
        <v>5.5214723926380369E-2</v>
      </c>
      <c r="D348" s="6">
        <f>9/$D$3</f>
        <v>8.1818181818181825E-3</v>
      </c>
      <c r="F348">
        <v>9</v>
      </c>
      <c r="G348" s="6">
        <f>F348/F352</f>
        <v>5.844155844155844E-2</v>
      </c>
      <c r="H348" s="6">
        <f>9/$H$3</f>
        <v>9.8792535675082324E-3</v>
      </c>
      <c r="J348">
        <v>9</v>
      </c>
      <c r="K348" s="6">
        <f>J348/J352</f>
        <v>5.5214723926380369E-2</v>
      </c>
      <c r="L348" s="6">
        <f>9/$L$3</f>
        <v>2.0737327188940093E-2</v>
      </c>
      <c r="N348">
        <v>0</v>
      </c>
      <c r="O348" s="6">
        <v>0</v>
      </c>
      <c r="P348" s="6">
        <f>0/$P$3</f>
        <v>0</v>
      </c>
      <c r="R348">
        <v>8</v>
      </c>
      <c r="S348" s="6">
        <f>R348/R352</f>
        <v>7.0175438596491224E-2</v>
      </c>
      <c r="T348" s="6">
        <f>8/$T$3</f>
        <v>1.4285714285714285E-2</v>
      </c>
      <c r="V348">
        <v>1</v>
      </c>
      <c r="W348" s="6">
        <f>V348/V352</f>
        <v>2.0408163265306121E-2</v>
      </c>
      <c r="X348" s="6">
        <f>1/$X$3</f>
        <v>1.8518518518518519E-3</v>
      </c>
      <c r="Z348">
        <v>4</v>
      </c>
      <c r="AA348" s="6">
        <f>Z348/Z352</f>
        <v>0.21052631578947367</v>
      </c>
      <c r="AB348" s="6">
        <f>4/$AB$3</f>
        <v>3.5398230088495575E-2</v>
      </c>
      <c r="AD348">
        <v>1</v>
      </c>
      <c r="AE348" s="6">
        <f>AD348/AD352</f>
        <v>4.3478260869565216E-2</v>
      </c>
      <c r="AF348" s="6">
        <f>1/$AF$3</f>
        <v>5.0505050505050509E-3</v>
      </c>
      <c r="AH348">
        <v>0</v>
      </c>
      <c r="AI348" s="6">
        <f>AH348/AH352</f>
        <v>0</v>
      </c>
      <c r="AJ348" s="6">
        <f>0/$AJ$3</f>
        <v>0</v>
      </c>
      <c r="AL348">
        <v>2</v>
      </c>
      <c r="AM348" s="6">
        <f>AL348/AL352</f>
        <v>4.1666666666666664E-2</v>
      </c>
      <c r="AN348" s="6">
        <f>2/$AN$3</f>
        <v>8.6206896551724137E-3</v>
      </c>
      <c r="AP348">
        <v>1</v>
      </c>
      <c r="AQ348" s="6">
        <f>AP348/AP352</f>
        <v>4.5454545454545456E-2</v>
      </c>
      <c r="AR348" s="6">
        <f>1/$AR$3</f>
        <v>5.3763440860215058E-3</v>
      </c>
      <c r="AT348">
        <v>1</v>
      </c>
      <c r="AU348" s="6">
        <f>AT348/AT352</f>
        <v>5.8823529411764705E-2</v>
      </c>
      <c r="AV348" s="6">
        <f>1/$AV$3</f>
        <v>8.0645161290322578E-3</v>
      </c>
      <c r="AX348">
        <v>5</v>
      </c>
      <c r="AY348" s="6">
        <f>AX348/AX352</f>
        <v>8.0645161290322578E-2</v>
      </c>
      <c r="AZ348" s="6">
        <f>5/$AZ$3</f>
        <v>1.1627906976744186E-2</v>
      </c>
      <c r="BB348">
        <v>2</v>
      </c>
      <c r="BC348" s="6">
        <f>BB348/BB352</f>
        <v>2.7777777777777776E-2</v>
      </c>
      <c r="BD348" s="6">
        <f>2/$BD$3</f>
        <v>4.6728971962616819E-3</v>
      </c>
      <c r="BF348">
        <v>2</v>
      </c>
      <c r="BG348" s="6">
        <f>BF348/BF352</f>
        <v>6.8965517241379309E-2</v>
      </c>
      <c r="BH348" s="6">
        <f>2/$BH$3</f>
        <v>8.2644628099173556E-3</v>
      </c>
      <c r="BJ348">
        <v>3</v>
      </c>
      <c r="BK348" s="6">
        <f>BJ348/BJ352</f>
        <v>5.4545454545454543E-2</v>
      </c>
      <c r="BL348" s="6">
        <f>3/$BL$3</f>
        <v>7.4441687344913151E-3</v>
      </c>
      <c r="BN348">
        <v>2</v>
      </c>
      <c r="BO348" s="6">
        <f>BN348/BN352</f>
        <v>3.0769230769230771E-2</v>
      </c>
      <c r="BP348" s="6">
        <f>2/$BP$3</f>
        <v>4.7281323877068557E-3</v>
      </c>
      <c r="BR348">
        <v>4</v>
      </c>
      <c r="BS348" s="6">
        <f>BR348/BR352</f>
        <v>9.3023255813953487E-2</v>
      </c>
      <c r="BT348" s="6">
        <f>4/$BT$3</f>
        <v>1.4598540145985401E-2</v>
      </c>
      <c r="BV348">
        <v>1</v>
      </c>
      <c r="BW348" s="6">
        <f>BV348/BV352</f>
        <v>2.7777777777777776E-2</v>
      </c>
      <c r="BX348" s="6">
        <f>1/$BX$3</f>
        <v>3.2786885245901639E-3</v>
      </c>
      <c r="BZ348">
        <v>1</v>
      </c>
      <c r="CA348" s="6">
        <f>BZ348/BZ352</f>
        <v>2.564102564102564E-2</v>
      </c>
      <c r="CB348" s="6">
        <f>1/$CB$3</f>
        <v>4.464285714285714E-3</v>
      </c>
      <c r="CD348">
        <v>2</v>
      </c>
      <c r="CE348" s="6">
        <f>CD348/CD352</f>
        <v>4.7619047619047616E-2</v>
      </c>
      <c r="CF348" s="6">
        <f>2/$CF$3</f>
        <v>8.2987551867219917E-3</v>
      </c>
      <c r="CH348">
        <v>5</v>
      </c>
      <c r="CI348" s="6">
        <f>CH348/CH352</f>
        <v>0.10869565217391304</v>
      </c>
      <c r="CJ348" s="6">
        <f>5/$CJ$3</f>
        <v>1.5151515151515152E-2</v>
      </c>
    </row>
    <row r="349" spans="1:88" x14ac:dyDescent="0.35">
      <c r="A349" s="1" t="s">
        <v>751</v>
      </c>
      <c r="B349">
        <v>8</v>
      </c>
      <c r="C349" s="6">
        <f>B349/B352</f>
        <v>4.9079754601226995E-2</v>
      </c>
      <c r="D349" s="6">
        <f>8/$D$3</f>
        <v>7.2727272727272727E-3</v>
      </c>
      <c r="F349">
        <v>8</v>
      </c>
      <c r="G349" s="6">
        <f>F349/F352</f>
        <v>5.1948051948051951E-2</v>
      </c>
      <c r="H349" s="6">
        <f>8/$H$3</f>
        <v>8.7815587266739849E-3</v>
      </c>
      <c r="J349">
        <v>8</v>
      </c>
      <c r="K349" s="6">
        <f>J349/J352</f>
        <v>4.9079754601226995E-2</v>
      </c>
      <c r="L349" s="6">
        <f>8/$L$3</f>
        <v>1.8433179723502304E-2</v>
      </c>
      <c r="N349">
        <v>0</v>
      </c>
      <c r="O349" s="6">
        <v>0</v>
      </c>
      <c r="P349" s="6">
        <f>0/$P$3</f>
        <v>0</v>
      </c>
      <c r="R349">
        <v>5</v>
      </c>
      <c r="S349" s="6">
        <f>R349/R352</f>
        <v>4.3859649122807015E-2</v>
      </c>
      <c r="T349" s="6">
        <f>5/$T$3</f>
        <v>8.9285714285714281E-3</v>
      </c>
      <c r="V349">
        <v>3</v>
      </c>
      <c r="W349" s="6">
        <f>V349/V352</f>
        <v>6.1224489795918366E-2</v>
      </c>
      <c r="X349" s="6">
        <f>3/$X$3</f>
        <v>5.5555555555555558E-3</v>
      </c>
      <c r="Z349">
        <v>2</v>
      </c>
      <c r="AA349" s="6">
        <f>Z349/Z352</f>
        <v>0.10526315789473684</v>
      </c>
      <c r="AB349" s="6">
        <f>2/$AB$3</f>
        <v>1.7699115044247787E-2</v>
      </c>
      <c r="AD349">
        <v>0</v>
      </c>
      <c r="AE349" s="6">
        <f>AD349/AD352</f>
        <v>0</v>
      </c>
      <c r="AF349" s="6">
        <f>0/$AF$3</f>
        <v>0</v>
      </c>
      <c r="AH349">
        <v>2</v>
      </c>
      <c r="AI349" s="6">
        <f>AH349/AH352</f>
        <v>5.8823529411764705E-2</v>
      </c>
      <c r="AJ349" s="6">
        <f>2/$AJ$3</f>
        <v>8.0971659919028341E-3</v>
      </c>
      <c r="AL349">
        <v>2</v>
      </c>
      <c r="AM349" s="6">
        <f>AL349/AL352</f>
        <v>4.1666666666666664E-2</v>
      </c>
      <c r="AN349" s="6">
        <f>2/$AN$3</f>
        <v>8.6206896551724137E-3</v>
      </c>
      <c r="AP349">
        <v>2</v>
      </c>
      <c r="AQ349" s="6">
        <f>AP349/AP352</f>
        <v>9.0909090909090912E-2</v>
      </c>
      <c r="AR349" s="6">
        <f>2/$AR$3</f>
        <v>1.0752688172043012E-2</v>
      </c>
      <c r="AT349">
        <v>0</v>
      </c>
      <c r="AU349" s="6">
        <f>AT349/AT352</f>
        <v>0</v>
      </c>
      <c r="AV349" s="6">
        <f>0/$AV$3</f>
        <v>0</v>
      </c>
      <c r="AX349">
        <v>4</v>
      </c>
      <c r="AY349" s="6">
        <f>AX349/AX352</f>
        <v>6.4516129032258063E-2</v>
      </c>
      <c r="AZ349" s="6">
        <f>4/$AZ$3</f>
        <v>9.3023255813953487E-3</v>
      </c>
      <c r="BB349">
        <v>2</v>
      </c>
      <c r="BC349" s="6">
        <f>BB349/BB352</f>
        <v>2.7777777777777776E-2</v>
      </c>
      <c r="BD349" s="6">
        <f>2/$BD$3</f>
        <v>4.6728971962616819E-3</v>
      </c>
      <c r="BF349">
        <v>2</v>
      </c>
      <c r="BG349" s="6">
        <f>BF349/BF352</f>
        <v>6.8965517241379309E-2</v>
      </c>
      <c r="BH349" s="6">
        <f>2/$BH$3</f>
        <v>8.2644628099173556E-3</v>
      </c>
      <c r="BJ349">
        <v>3</v>
      </c>
      <c r="BK349" s="6">
        <f>BJ349/BJ352</f>
        <v>5.4545454545454543E-2</v>
      </c>
      <c r="BL349" s="6">
        <f>3/$BL$3</f>
        <v>7.4441687344913151E-3</v>
      </c>
      <c r="BN349">
        <v>3</v>
      </c>
      <c r="BO349" s="6">
        <f>BN349/BN352</f>
        <v>4.6153846153846156E-2</v>
      </c>
      <c r="BP349" s="6">
        <f>3/$BP$3</f>
        <v>7.0921985815602835E-3</v>
      </c>
      <c r="BR349">
        <v>2</v>
      </c>
      <c r="BS349" s="6">
        <f>BR349/BR352</f>
        <v>4.6511627906976744E-2</v>
      </c>
      <c r="BT349" s="6">
        <f>2/$BT$3</f>
        <v>7.2992700729927005E-3</v>
      </c>
      <c r="BV349">
        <v>1</v>
      </c>
      <c r="BW349" s="6">
        <f>BV349/BV352</f>
        <v>2.7777777777777776E-2</v>
      </c>
      <c r="BX349" s="6">
        <f>1/$BX$3</f>
        <v>3.2786885245901639E-3</v>
      </c>
      <c r="BZ349">
        <v>3</v>
      </c>
      <c r="CA349" s="6">
        <f>BZ349/BZ352</f>
        <v>7.6923076923076927E-2</v>
      </c>
      <c r="CB349" s="6">
        <f>3/$CB$3</f>
        <v>1.3392857142857142E-2</v>
      </c>
      <c r="CD349">
        <v>2</v>
      </c>
      <c r="CE349" s="6">
        <f>CD349/CD352</f>
        <v>4.7619047619047616E-2</v>
      </c>
      <c r="CF349" s="6">
        <f>2/$CF$3</f>
        <v>8.2987551867219917E-3</v>
      </c>
      <c r="CH349">
        <v>2</v>
      </c>
      <c r="CI349" s="6">
        <f>CH349/CH352</f>
        <v>4.3478260869565216E-2</v>
      </c>
      <c r="CJ349" s="6">
        <f>2/$CJ$3</f>
        <v>6.0606060606060606E-3</v>
      </c>
    </row>
    <row r="350" spans="1:88" x14ac:dyDescent="0.35">
      <c r="A350" s="1" t="s">
        <v>752</v>
      </c>
      <c r="B350">
        <v>146</v>
      </c>
      <c r="C350" s="6">
        <f>B350/B352</f>
        <v>0.89570552147239269</v>
      </c>
      <c r="D350" s="6">
        <f>146/$D$3</f>
        <v>0.13272727272727272</v>
      </c>
      <c r="F350">
        <v>137</v>
      </c>
      <c r="G350" s="6">
        <f>F350/F352</f>
        <v>0.88961038961038963</v>
      </c>
      <c r="H350" s="6">
        <f>137/$H$3</f>
        <v>0.150384193194292</v>
      </c>
      <c r="J350">
        <v>146</v>
      </c>
      <c r="K350" s="6">
        <f>J350/J352</f>
        <v>0.89570552147239269</v>
      </c>
      <c r="L350" s="6">
        <f>146/$L$3</f>
        <v>0.33640552995391704</v>
      </c>
      <c r="N350">
        <v>0</v>
      </c>
      <c r="O350" s="6">
        <v>0</v>
      </c>
      <c r="P350" s="8">
        <f>0/$P$3</f>
        <v>0</v>
      </c>
      <c r="R350">
        <v>101</v>
      </c>
      <c r="S350" s="6">
        <f>R350/R352</f>
        <v>0.88596491228070173</v>
      </c>
      <c r="T350" s="6">
        <f>101/$T$3</f>
        <v>0.18035714285714285</v>
      </c>
      <c r="V350">
        <v>45</v>
      </c>
      <c r="W350" s="6">
        <f>V350/V352</f>
        <v>0.91836734693877553</v>
      </c>
      <c r="X350" s="6">
        <f>45/$X$3</f>
        <v>8.3333333333333329E-2</v>
      </c>
      <c r="Z350">
        <v>13</v>
      </c>
      <c r="AA350" s="6">
        <f>Z350/Z352</f>
        <v>0.68421052631578949</v>
      </c>
      <c r="AB350" s="6">
        <f>13/$AB$3</f>
        <v>0.11504424778761062</v>
      </c>
      <c r="AD350">
        <v>22</v>
      </c>
      <c r="AE350" s="6">
        <f>AD350/AD352</f>
        <v>0.95652173913043481</v>
      </c>
      <c r="AF350" s="6">
        <f>22/$AF$3</f>
        <v>0.1111111111111111</v>
      </c>
      <c r="AH350">
        <v>32</v>
      </c>
      <c r="AI350" s="6">
        <f>AH350/AH352</f>
        <v>0.94117647058823528</v>
      </c>
      <c r="AJ350" s="6">
        <f>32/$AJ$3</f>
        <v>0.12955465587044535</v>
      </c>
      <c r="AL350">
        <v>44</v>
      </c>
      <c r="AM350" s="6">
        <f>AL350/AL352</f>
        <v>0.91666666666666663</v>
      </c>
      <c r="AN350" s="9">
        <f>44/$AN$3</f>
        <v>0.18965517241379309</v>
      </c>
      <c r="AP350">
        <v>19</v>
      </c>
      <c r="AQ350" s="6">
        <f>AP350/AP352</f>
        <v>0.86363636363636365</v>
      </c>
      <c r="AR350" s="6">
        <f>19/$AR$3</f>
        <v>0.10215053763440861</v>
      </c>
      <c r="AT350">
        <v>16</v>
      </c>
      <c r="AU350" s="6">
        <f>AT350/AT352</f>
        <v>0.94117647058823528</v>
      </c>
      <c r="AV350" s="6">
        <f>16/$AV$3</f>
        <v>0.12903225806451613</v>
      </c>
      <c r="AX350">
        <v>53</v>
      </c>
      <c r="AY350" s="6">
        <f>AX350/AX352</f>
        <v>0.85483870967741937</v>
      </c>
      <c r="AZ350" s="6">
        <f>53/$AZ$3</f>
        <v>0.12325581395348838</v>
      </c>
      <c r="BB350">
        <v>68</v>
      </c>
      <c r="BC350" s="6">
        <f>BB350/BB352</f>
        <v>0.94444444444444442</v>
      </c>
      <c r="BD350" s="6">
        <f>68/$BD$3</f>
        <v>0.15887850467289719</v>
      </c>
      <c r="BF350">
        <v>25</v>
      </c>
      <c r="BG350" s="6">
        <f>BF350/BF352</f>
        <v>0.86206896551724133</v>
      </c>
      <c r="BH350" s="6">
        <f>25/$BH$3</f>
        <v>0.10330578512396695</v>
      </c>
      <c r="BJ350">
        <v>49</v>
      </c>
      <c r="BK350" s="6">
        <f>BJ350/BJ352</f>
        <v>0.89090909090909087</v>
      </c>
      <c r="BL350" s="6">
        <f>49/$BL$3</f>
        <v>0.12158808933002481</v>
      </c>
      <c r="BN350">
        <v>60</v>
      </c>
      <c r="BO350" s="6">
        <f>BN350/BN352</f>
        <v>0.92307692307692313</v>
      </c>
      <c r="BP350" s="6">
        <f>60/$BP$3</f>
        <v>0.14184397163120568</v>
      </c>
      <c r="BR350">
        <v>37</v>
      </c>
      <c r="BS350" s="6">
        <f>BR350/BR352</f>
        <v>0.86046511627906974</v>
      </c>
      <c r="BT350" s="6">
        <f>37/$BT$3</f>
        <v>0.13503649635036497</v>
      </c>
      <c r="BV350">
        <v>34</v>
      </c>
      <c r="BW350" s="6">
        <f>BV350/BV352</f>
        <v>0.94444444444444442</v>
      </c>
      <c r="BX350" s="6">
        <f>34/$BX$3</f>
        <v>0.11147540983606558</v>
      </c>
      <c r="BZ350">
        <v>35</v>
      </c>
      <c r="CA350" s="6">
        <f>BZ350/BZ352</f>
        <v>0.89743589743589747</v>
      </c>
      <c r="CB350" s="6">
        <f>35/$CB$3</f>
        <v>0.15625</v>
      </c>
      <c r="CD350">
        <v>38</v>
      </c>
      <c r="CE350" s="6">
        <f>CD350/CD352</f>
        <v>0.90476190476190477</v>
      </c>
      <c r="CF350" s="6">
        <f>38/$CF$3</f>
        <v>0.15767634854771784</v>
      </c>
      <c r="CH350">
        <v>39</v>
      </c>
      <c r="CI350" s="6">
        <f>CH350/CH352</f>
        <v>0.84782608695652173</v>
      </c>
      <c r="CJ350" s="6">
        <f>39/$CJ$3</f>
        <v>0.11818181818181818</v>
      </c>
    </row>
    <row r="351" spans="1:88" x14ac:dyDescent="0.35">
      <c r="A351" s="1" t="s">
        <v>409</v>
      </c>
      <c r="B351">
        <v>0</v>
      </c>
      <c r="C351" s="6">
        <f>B351/B352</f>
        <v>0</v>
      </c>
      <c r="D351" s="6">
        <f>0/$D$3</f>
        <v>0</v>
      </c>
      <c r="F351">
        <v>0</v>
      </c>
      <c r="G351" s="6">
        <f>F351/F352</f>
        <v>0</v>
      </c>
      <c r="H351" s="6">
        <f>0/$H$3</f>
        <v>0</v>
      </c>
      <c r="J351">
        <v>0</v>
      </c>
      <c r="K351" s="6">
        <f>J351/J352</f>
        <v>0</v>
      </c>
      <c r="L351" s="6">
        <f>0/$L$3</f>
        <v>0</v>
      </c>
      <c r="N351">
        <v>0</v>
      </c>
      <c r="O351" s="6">
        <v>0</v>
      </c>
      <c r="P351" s="6">
        <f>0/$P$3</f>
        <v>0</v>
      </c>
      <c r="R351">
        <v>0</v>
      </c>
      <c r="S351" s="6">
        <f>R351/R352</f>
        <v>0</v>
      </c>
      <c r="T351" s="6">
        <f>0/$T$3</f>
        <v>0</v>
      </c>
      <c r="V351">
        <v>0</v>
      </c>
      <c r="W351" s="6">
        <f>V351/V352</f>
        <v>0</v>
      </c>
      <c r="X351" s="6">
        <f>0/$X$3</f>
        <v>0</v>
      </c>
      <c r="Z351">
        <v>0</v>
      </c>
      <c r="AA351" s="6">
        <f>Z351/Z352</f>
        <v>0</v>
      </c>
      <c r="AB351" s="6">
        <f>0/$AB$3</f>
        <v>0</v>
      </c>
      <c r="AD351">
        <v>0</v>
      </c>
      <c r="AE351" s="6">
        <f>AD351/AD352</f>
        <v>0</v>
      </c>
      <c r="AF351" s="6">
        <f>0/$AF$3</f>
        <v>0</v>
      </c>
      <c r="AH351">
        <v>0</v>
      </c>
      <c r="AI351" s="6">
        <f>AH351/AH352</f>
        <v>0</v>
      </c>
      <c r="AJ351" s="6">
        <f>0/$AJ$3</f>
        <v>0</v>
      </c>
      <c r="AL351">
        <v>0</v>
      </c>
      <c r="AM351" s="6">
        <f>AL351/AL352</f>
        <v>0</v>
      </c>
      <c r="AN351" s="6">
        <f>0/$AN$3</f>
        <v>0</v>
      </c>
      <c r="AP351">
        <v>0</v>
      </c>
      <c r="AQ351" s="6">
        <f>AP351/AP352</f>
        <v>0</v>
      </c>
      <c r="AR351" s="6">
        <f>0/$AR$3</f>
        <v>0</v>
      </c>
      <c r="AT351">
        <v>0</v>
      </c>
      <c r="AU351" s="6">
        <f>AT351/AT352</f>
        <v>0</v>
      </c>
      <c r="AV351" s="6">
        <f>0/$AV$3</f>
        <v>0</v>
      </c>
      <c r="AX351">
        <v>0</v>
      </c>
      <c r="AY351" s="6">
        <f>AX351/AX352</f>
        <v>0</v>
      </c>
      <c r="AZ351" s="6">
        <f>0/$AZ$3</f>
        <v>0</v>
      </c>
      <c r="BB351">
        <v>0</v>
      </c>
      <c r="BC351" s="6">
        <f>BB351/BB352</f>
        <v>0</v>
      </c>
      <c r="BD351" s="6">
        <f>0/$BD$3</f>
        <v>0</v>
      </c>
      <c r="BF351">
        <v>0</v>
      </c>
      <c r="BG351" s="6">
        <f>BF351/BF352</f>
        <v>0</v>
      </c>
      <c r="BH351" s="6">
        <f>0/$BH$3</f>
        <v>0</v>
      </c>
      <c r="BJ351">
        <v>0</v>
      </c>
      <c r="BK351" s="6">
        <f>BJ351/BJ352</f>
        <v>0</v>
      </c>
      <c r="BL351" s="6">
        <f>0/$BL$3</f>
        <v>0</v>
      </c>
      <c r="BN351">
        <v>0</v>
      </c>
      <c r="BO351" s="6">
        <f>BN351/BN352</f>
        <v>0</v>
      </c>
      <c r="BP351" s="6">
        <f>0/$BP$3</f>
        <v>0</v>
      </c>
      <c r="BR351">
        <v>0</v>
      </c>
      <c r="BS351" s="6">
        <f>BR351/BR352</f>
        <v>0</v>
      </c>
      <c r="BT351" s="6">
        <f>0/$BT$3</f>
        <v>0</v>
      </c>
      <c r="BV351">
        <v>0</v>
      </c>
      <c r="BW351" s="6">
        <f>BV351/BV352</f>
        <v>0</v>
      </c>
      <c r="BX351" s="6">
        <f>0/$BX$3</f>
        <v>0</v>
      </c>
      <c r="BZ351">
        <v>0</v>
      </c>
      <c r="CA351" s="6">
        <f>BZ351/BZ352</f>
        <v>0</v>
      </c>
      <c r="CB351" s="6">
        <f>0/$CB$3</f>
        <v>0</v>
      </c>
      <c r="CD351">
        <v>0</v>
      </c>
      <c r="CE351" s="6">
        <f>CD351/CD352</f>
        <v>0</v>
      </c>
      <c r="CF351" s="6">
        <f>0/$CF$3</f>
        <v>0</v>
      </c>
      <c r="CH351">
        <v>0</v>
      </c>
      <c r="CI351" s="6">
        <f>CH351/CH352</f>
        <v>0</v>
      </c>
      <c r="CJ351" s="6">
        <f>0/$CJ$3</f>
        <v>0</v>
      </c>
    </row>
    <row r="352" spans="1:88" s="10" customFormat="1" x14ac:dyDescent="0.35">
      <c r="A352" s="11" t="s">
        <v>411</v>
      </c>
      <c r="B352" s="10">
        <v>163</v>
      </c>
      <c r="F352" s="10">
        <v>154</v>
      </c>
      <c r="J352" s="10">
        <v>163</v>
      </c>
      <c r="N352" s="10">
        <v>0</v>
      </c>
      <c r="R352" s="10">
        <v>114</v>
      </c>
      <c r="V352" s="10">
        <v>49</v>
      </c>
      <c r="Z352" s="10">
        <v>19</v>
      </c>
      <c r="AD352" s="10">
        <v>23</v>
      </c>
      <c r="AH352" s="10">
        <v>34</v>
      </c>
      <c r="AL352" s="10">
        <v>48</v>
      </c>
      <c r="AP352" s="10">
        <v>22</v>
      </c>
      <c r="AT352" s="10">
        <v>17</v>
      </c>
      <c r="AX352" s="10">
        <v>62</v>
      </c>
      <c r="BB352" s="10">
        <v>72</v>
      </c>
      <c r="BF352" s="10">
        <v>29</v>
      </c>
      <c r="BJ352" s="10">
        <v>55</v>
      </c>
      <c r="BN352" s="10">
        <v>65</v>
      </c>
      <c r="BR352" s="10">
        <v>43</v>
      </c>
      <c r="BV352" s="10">
        <v>36</v>
      </c>
      <c r="BZ352" s="10">
        <v>39</v>
      </c>
      <c r="CD352" s="10">
        <v>42</v>
      </c>
      <c r="CH352" s="10">
        <v>46</v>
      </c>
    </row>
    <row r="353" spans="1:88" hidden="1" x14ac:dyDescent="0.35">
      <c r="A353" s="12" t="s">
        <v>412</v>
      </c>
      <c r="B353">
        <v>0</v>
      </c>
      <c r="F353">
        <v>0</v>
      </c>
      <c r="J353">
        <v>0</v>
      </c>
      <c r="N353">
        <v>0</v>
      </c>
      <c r="R353">
        <v>0</v>
      </c>
      <c r="V353">
        <v>0</v>
      </c>
      <c r="Z353">
        <v>0</v>
      </c>
      <c r="AD353">
        <v>0</v>
      </c>
      <c r="AH353">
        <v>0</v>
      </c>
      <c r="AL353">
        <v>0</v>
      </c>
      <c r="AP353">
        <v>0</v>
      </c>
      <c r="AT353">
        <v>0</v>
      </c>
      <c r="AX353">
        <v>0</v>
      </c>
      <c r="BB353">
        <v>0</v>
      </c>
      <c r="BF353">
        <v>0</v>
      </c>
      <c r="BJ353">
        <v>0</v>
      </c>
      <c r="BN353">
        <v>0</v>
      </c>
      <c r="BR353">
        <v>0</v>
      </c>
      <c r="BV353">
        <v>0</v>
      </c>
      <c r="BZ353">
        <v>0</v>
      </c>
      <c r="CD353">
        <v>0</v>
      </c>
      <c r="CH353">
        <v>0</v>
      </c>
    </row>
    <row r="354" spans="1:88" s="13" customFormat="1" x14ac:dyDescent="0.35">
      <c r="A354" s="12" t="s">
        <v>413</v>
      </c>
      <c r="B354" s="13">
        <v>937</v>
      </c>
      <c r="F354" s="13">
        <v>757</v>
      </c>
      <c r="J354" s="13">
        <v>271</v>
      </c>
      <c r="N354" s="13">
        <v>81</v>
      </c>
      <c r="R354" s="13">
        <v>446</v>
      </c>
      <c r="V354" s="13">
        <v>491</v>
      </c>
      <c r="Z354" s="13">
        <v>94</v>
      </c>
      <c r="AD354" s="13">
        <v>175</v>
      </c>
      <c r="AH354" s="13">
        <v>213</v>
      </c>
      <c r="AL354" s="13">
        <v>184</v>
      </c>
      <c r="AP354" s="13">
        <v>164</v>
      </c>
      <c r="AT354" s="13">
        <v>107</v>
      </c>
      <c r="AX354" s="13">
        <v>368</v>
      </c>
      <c r="BB354" s="13">
        <v>356</v>
      </c>
      <c r="BF354" s="13">
        <v>213</v>
      </c>
      <c r="BJ354" s="13">
        <v>348</v>
      </c>
      <c r="BN354" s="13">
        <v>358</v>
      </c>
      <c r="BR354" s="13">
        <v>231</v>
      </c>
      <c r="BV354" s="13">
        <v>269</v>
      </c>
      <c r="BZ354" s="13">
        <v>185</v>
      </c>
      <c r="CD354" s="13">
        <v>199</v>
      </c>
      <c r="CH354" s="13">
        <v>284</v>
      </c>
    </row>
    <row r="356" spans="1:88" x14ac:dyDescent="0.35">
      <c r="AB356" s="2" t="s">
        <v>3</v>
      </c>
      <c r="AF356" s="2" t="s">
        <v>4</v>
      </c>
      <c r="AJ356" s="2" t="s">
        <v>5</v>
      </c>
      <c r="AN356" s="2" t="s">
        <v>6</v>
      </c>
      <c r="AR356" s="2" t="s">
        <v>7</v>
      </c>
      <c r="AV356" s="2" t="s">
        <v>8</v>
      </c>
      <c r="AZ356" s="2" t="s">
        <v>3</v>
      </c>
      <c r="BD356" s="2" t="s">
        <v>4</v>
      </c>
      <c r="BH356" s="2" t="s">
        <v>5</v>
      </c>
      <c r="BL356" s="2" t="s">
        <v>3</v>
      </c>
      <c r="BP356" s="2" t="s">
        <v>4</v>
      </c>
      <c r="BT356" s="2" t="s">
        <v>5</v>
      </c>
      <c r="BX356" s="2" t="s">
        <v>3</v>
      </c>
      <c r="CB356" s="2" t="s">
        <v>4</v>
      </c>
      <c r="CF356" s="2" t="s">
        <v>5</v>
      </c>
      <c r="CJ356" s="2" t="s">
        <v>6</v>
      </c>
    </row>
    <row r="357" spans="1:88" s="3" customFormat="1" x14ac:dyDescent="0.35">
      <c r="A357" s="3" t="s">
        <v>753</v>
      </c>
      <c r="D357" s="5" t="s">
        <v>406</v>
      </c>
      <c r="H357" s="5" t="s">
        <v>406</v>
      </c>
      <c r="L357" s="5" t="s">
        <v>406</v>
      </c>
      <c r="P357" s="5" t="s">
        <v>406</v>
      </c>
      <c r="T357" s="5" t="s">
        <v>406</v>
      </c>
      <c r="X357" s="5" t="s">
        <v>406</v>
      </c>
      <c r="AB357" s="5" t="s">
        <v>406</v>
      </c>
      <c r="AF357" s="5" t="s">
        <v>406</v>
      </c>
      <c r="AJ357" s="5" t="s">
        <v>406</v>
      </c>
      <c r="AN357" s="5" t="s">
        <v>406</v>
      </c>
      <c r="AR357" s="5" t="s">
        <v>406</v>
      </c>
      <c r="AV357" s="5" t="s">
        <v>406</v>
      </c>
      <c r="AZ357" s="5" t="s">
        <v>406</v>
      </c>
      <c r="BD357" s="5" t="s">
        <v>406</v>
      </c>
      <c r="BH357" s="5" t="s">
        <v>406</v>
      </c>
      <c r="BL357" s="5" t="s">
        <v>406</v>
      </c>
      <c r="BP357" s="5" t="s">
        <v>406</v>
      </c>
      <c r="BT357" s="5" t="s">
        <v>406</v>
      </c>
      <c r="BX357" s="5" t="s">
        <v>406</v>
      </c>
      <c r="CB357" s="5" t="s">
        <v>406</v>
      </c>
      <c r="CF357" s="5" t="s">
        <v>406</v>
      </c>
      <c r="CJ357" s="5" t="s">
        <v>406</v>
      </c>
    </row>
    <row r="358" spans="1:88" x14ac:dyDescent="0.35">
      <c r="A358" s="1" t="s">
        <v>626</v>
      </c>
      <c r="B358">
        <v>824</v>
      </c>
      <c r="C358" s="6">
        <f>B358/B361</f>
        <v>0.74909090909090914</v>
      </c>
      <c r="D358" s="6">
        <f>824/$D$3</f>
        <v>0.74909090909090914</v>
      </c>
      <c r="F358">
        <v>712</v>
      </c>
      <c r="G358" s="6">
        <f>F358/F361</f>
        <v>0.78155872667398463</v>
      </c>
      <c r="H358" s="6">
        <f>712/$H$3</f>
        <v>0.78155872667398463</v>
      </c>
      <c r="J358">
        <v>327</v>
      </c>
      <c r="K358" s="6">
        <f>J358/J361</f>
        <v>0.75345622119815669</v>
      </c>
      <c r="L358" s="6">
        <f>327/$L$3</f>
        <v>0.75345622119815669</v>
      </c>
      <c r="N358">
        <v>66</v>
      </c>
      <c r="O358" s="6">
        <f>N358/N361</f>
        <v>0.81481481481481477</v>
      </c>
      <c r="P358" s="6">
        <f>66/$P$3</f>
        <v>0.81481481481481477</v>
      </c>
      <c r="R358">
        <v>419</v>
      </c>
      <c r="S358" s="6">
        <f>R358/R361</f>
        <v>0.74821428571428572</v>
      </c>
      <c r="T358" s="6">
        <f>419/$T$3</f>
        <v>0.74821428571428572</v>
      </c>
      <c r="V358">
        <v>405</v>
      </c>
      <c r="W358" s="6">
        <f>V358/V361</f>
        <v>0.75</v>
      </c>
      <c r="X358" s="6">
        <f>405/$X$3</f>
        <v>0.75</v>
      </c>
      <c r="Z358">
        <v>71</v>
      </c>
      <c r="AA358" s="6">
        <f>Z358/Z361</f>
        <v>0.62831858407079644</v>
      </c>
      <c r="AB358" s="8">
        <f>71/$AB$3</f>
        <v>0.62831858407079644</v>
      </c>
      <c r="AD358">
        <v>145</v>
      </c>
      <c r="AE358" s="6">
        <f>AD358/AD361</f>
        <v>0.73232323232323238</v>
      </c>
      <c r="AF358" s="6">
        <f>145/$AF$3</f>
        <v>0.73232323232323238</v>
      </c>
      <c r="AH358">
        <v>189</v>
      </c>
      <c r="AI358" s="6">
        <f>AH358/AH361</f>
        <v>0.76518218623481782</v>
      </c>
      <c r="AJ358" s="6">
        <f>189/$AJ$3</f>
        <v>0.76518218623481782</v>
      </c>
      <c r="AL358">
        <v>177</v>
      </c>
      <c r="AM358" s="6">
        <f>AL358/AL361</f>
        <v>0.76293103448275867</v>
      </c>
      <c r="AN358" s="6">
        <f>177/$AN$3</f>
        <v>0.76293103448275867</v>
      </c>
      <c r="AP358">
        <v>142</v>
      </c>
      <c r="AQ358" s="6">
        <f>AP358/AP361</f>
        <v>0.76344086021505375</v>
      </c>
      <c r="AR358" s="6">
        <f>142/$AR$3</f>
        <v>0.76344086021505375</v>
      </c>
      <c r="AT358">
        <v>100</v>
      </c>
      <c r="AU358" s="6">
        <f>AT358/AT361</f>
        <v>0.80645161290322576</v>
      </c>
      <c r="AV358" s="6">
        <f>100/$AV$3</f>
        <v>0.80645161290322576</v>
      </c>
      <c r="AW358" s="7"/>
      <c r="AX358">
        <v>306</v>
      </c>
      <c r="AY358" s="6">
        <f>AX358/AX361</f>
        <v>0.71162790697674416</v>
      </c>
      <c r="AZ358" s="6">
        <f>306/$AZ$3</f>
        <v>0.71162790697674416</v>
      </c>
      <c r="BB358">
        <v>333</v>
      </c>
      <c r="BC358" s="6">
        <f>BB358/BB361</f>
        <v>0.7780373831775701</v>
      </c>
      <c r="BD358" s="6">
        <f>333/$BD$3</f>
        <v>0.7780373831775701</v>
      </c>
      <c r="BF358">
        <v>185</v>
      </c>
      <c r="BG358" s="6">
        <f>BF358/BF361</f>
        <v>0.76446280991735538</v>
      </c>
      <c r="BH358" s="6">
        <f>185/$BH$3</f>
        <v>0.76446280991735538</v>
      </c>
      <c r="BJ358">
        <v>288</v>
      </c>
      <c r="BK358" s="6">
        <f>BJ358/BJ361</f>
        <v>0.71464019851116622</v>
      </c>
      <c r="BL358" s="6">
        <f>288/$BL$3</f>
        <v>0.71464019851116622</v>
      </c>
      <c r="BN358">
        <v>316</v>
      </c>
      <c r="BO358" s="6">
        <f>BN358/BN361</f>
        <v>0.74704491725768318</v>
      </c>
      <c r="BP358" s="6">
        <f>316/$BP$3</f>
        <v>0.74704491725768318</v>
      </c>
      <c r="BR358">
        <v>220</v>
      </c>
      <c r="BS358" s="6">
        <f>BR358/BR361</f>
        <v>0.8029197080291971</v>
      </c>
      <c r="BT358" s="9">
        <f>220/$BT$3</f>
        <v>0.8029197080291971</v>
      </c>
      <c r="BV358">
        <v>226</v>
      </c>
      <c r="BW358" s="6">
        <f>BV358/BV361</f>
        <v>0.74098360655737705</v>
      </c>
      <c r="BX358" s="6">
        <f>226/$BX$3</f>
        <v>0.74098360655737705</v>
      </c>
      <c r="BZ358">
        <v>174</v>
      </c>
      <c r="CA358" s="6">
        <f>BZ358/BZ361</f>
        <v>0.7767857142857143</v>
      </c>
      <c r="CB358" s="6">
        <f>174/$CB$3</f>
        <v>0.7767857142857143</v>
      </c>
      <c r="CD358">
        <v>186</v>
      </c>
      <c r="CE358" s="6">
        <f>CD358/CD361</f>
        <v>0.77178423236514526</v>
      </c>
      <c r="CF358" s="6">
        <f>186/$CF$3</f>
        <v>0.77178423236514526</v>
      </c>
      <c r="CH358">
        <v>238</v>
      </c>
      <c r="CI358" s="6">
        <f>CH358/CH361</f>
        <v>0.72121212121212119</v>
      </c>
      <c r="CJ358" s="6">
        <f>238/$CJ$3</f>
        <v>0.72121212121212119</v>
      </c>
    </row>
    <row r="359" spans="1:88" x14ac:dyDescent="0.35">
      <c r="A359" s="1" t="s">
        <v>627</v>
      </c>
      <c r="B359">
        <v>276</v>
      </c>
      <c r="C359" s="6">
        <f>B359/B361</f>
        <v>0.25090909090909091</v>
      </c>
      <c r="D359" s="6">
        <f>276/$D$3</f>
        <v>0.25090909090909091</v>
      </c>
      <c r="F359">
        <v>199</v>
      </c>
      <c r="G359" s="6">
        <f>F359/F361</f>
        <v>0.21844127332601537</v>
      </c>
      <c r="H359" s="6">
        <f>199/$H$3</f>
        <v>0.21844127332601537</v>
      </c>
      <c r="J359">
        <v>107</v>
      </c>
      <c r="K359" s="6">
        <f>J359/J361</f>
        <v>0.24654377880184331</v>
      </c>
      <c r="L359" s="6">
        <f>107/$L$3</f>
        <v>0.24654377880184331</v>
      </c>
      <c r="N359">
        <v>15</v>
      </c>
      <c r="O359" s="6">
        <f>N359/N361</f>
        <v>0.18518518518518517</v>
      </c>
      <c r="P359" s="6">
        <f>15/$P$3</f>
        <v>0.18518518518518517</v>
      </c>
      <c r="R359">
        <v>141</v>
      </c>
      <c r="S359" s="6">
        <f>R359/R361</f>
        <v>0.25178571428571428</v>
      </c>
      <c r="T359" s="6">
        <f>141/$T$3</f>
        <v>0.25178571428571428</v>
      </c>
      <c r="V359">
        <v>135</v>
      </c>
      <c r="W359" s="6">
        <f>V359/V361</f>
        <v>0.25</v>
      </c>
      <c r="X359" s="6">
        <f>135/$X$3</f>
        <v>0.25</v>
      </c>
      <c r="Z359">
        <v>42</v>
      </c>
      <c r="AA359" s="6">
        <f>Z359/Z361</f>
        <v>0.37168141592920356</v>
      </c>
      <c r="AB359" s="9">
        <f>42/$AB$3</f>
        <v>0.37168141592920356</v>
      </c>
      <c r="AC359" s="7"/>
      <c r="AD359">
        <v>53</v>
      </c>
      <c r="AE359" s="6">
        <f>AD359/AD361</f>
        <v>0.26767676767676768</v>
      </c>
      <c r="AF359" s="6">
        <f>53/$AF$3</f>
        <v>0.26767676767676768</v>
      </c>
      <c r="AH359">
        <v>58</v>
      </c>
      <c r="AI359" s="6">
        <f>AH359/AH361</f>
        <v>0.23481781376518218</v>
      </c>
      <c r="AJ359" s="6">
        <f>58/$AJ$3</f>
        <v>0.23481781376518218</v>
      </c>
      <c r="AL359">
        <v>55</v>
      </c>
      <c r="AM359" s="6">
        <f>AL359/AL361</f>
        <v>0.23706896551724138</v>
      </c>
      <c r="AN359" s="6">
        <f>55/$AN$3</f>
        <v>0.23706896551724138</v>
      </c>
      <c r="AP359">
        <v>44</v>
      </c>
      <c r="AQ359" s="6">
        <f>AP359/AP361</f>
        <v>0.23655913978494625</v>
      </c>
      <c r="AR359" s="6">
        <f>44/$AR$3</f>
        <v>0.23655913978494625</v>
      </c>
      <c r="AT359">
        <v>24</v>
      </c>
      <c r="AU359" s="6">
        <f>AT359/AT361</f>
        <v>0.19354838709677419</v>
      </c>
      <c r="AV359" s="6">
        <f>24/$AV$3</f>
        <v>0.19354838709677419</v>
      </c>
      <c r="AX359">
        <v>124</v>
      </c>
      <c r="AY359" s="6">
        <f>AX359/AX361</f>
        <v>0.28837209302325584</v>
      </c>
      <c r="AZ359" s="6">
        <f>124/$AZ$3</f>
        <v>0.28837209302325584</v>
      </c>
      <c r="BB359">
        <v>95</v>
      </c>
      <c r="BC359" s="6">
        <f>BB359/BB361</f>
        <v>0.2219626168224299</v>
      </c>
      <c r="BD359" s="6">
        <f>95/$BD$3</f>
        <v>0.2219626168224299</v>
      </c>
      <c r="BF359">
        <v>57</v>
      </c>
      <c r="BG359" s="6">
        <f>BF359/BF361</f>
        <v>0.23553719008264462</v>
      </c>
      <c r="BH359" s="6">
        <f>57/$BH$3</f>
        <v>0.23553719008264462</v>
      </c>
      <c r="BJ359">
        <v>115</v>
      </c>
      <c r="BK359" s="6">
        <f>BJ359/BJ361</f>
        <v>0.28535980148883372</v>
      </c>
      <c r="BL359" s="6">
        <f>115/$BL$3</f>
        <v>0.28535980148883372</v>
      </c>
      <c r="BN359">
        <v>107</v>
      </c>
      <c r="BO359" s="6">
        <f>BN359/BN361</f>
        <v>0.25295508274231676</v>
      </c>
      <c r="BP359" s="6">
        <f>107/$BP$3</f>
        <v>0.25295508274231676</v>
      </c>
      <c r="BR359">
        <v>54</v>
      </c>
      <c r="BS359" s="6">
        <f>BR359/BR361</f>
        <v>0.19708029197080293</v>
      </c>
      <c r="BT359" s="8">
        <f>54/$BT$3</f>
        <v>0.19708029197080293</v>
      </c>
      <c r="BV359">
        <v>79</v>
      </c>
      <c r="BW359" s="6">
        <f>BV359/BV361</f>
        <v>0.25901639344262295</v>
      </c>
      <c r="BX359" s="6">
        <f>79/$BX$3</f>
        <v>0.25901639344262295</v>
      </c>
      <c r="BZ359">
        <v>50</v>
      </c>
      <c r="CA359" s="6">
        <f>BZ359/BZ361</f>
        <v>0.22321428571428573</v>
      </c>
      <c r="CB359" s="6">
        <f>50/$CB$3</f>
        <v>0.22321428571428573</v>
      </c>
      <c r="CD359">
        <v>55</v>
      </c>
      <c r="CE359" s="6">
        <f>CD359/CD361</f>
        <v>0.22821576763485477</v>
      </c>
      <c r="CF359" s="6">
        <f>55/$CF$3</f>
        <v>0.22821576763485477</v>
      </c>
      <c r="CH359">
        <v>92</v>
      </c>
      <c r="CI359" s="6">
        <f>CH359/CH361</f>
        <v>0.27878787878787881</v>
      </c>
      <c r="CJ359" s="6">
        <f>92/$CJ$3</f>
        <v>0.27878787878787881</v>
      </c>
    </row>
    <row r="360" spans="1:88" x14ac:dyDescent="0.35">
      <c r="A360" s="1" t="s">
        <v>409</v>
      </c>
      <c r="B360">
        <v>0</v>
      </c>
      <c r="C360" s="6">
        <f>B360/B361</f>
        <v>0</v>
      </c>
      <c r="D360" s="6">
        <f>0/$D$3</f>
        <v>0</v>
      </c>
      <c r="F360">
        <v>0</v>
      </c>
      <c r="G360" s="6">
        <f>F360/F361</f>
        <v>0</v>
      </c>
      <c r="H360" s="6">
        <f>0/$H$3</f>
        <v>0</v>
      </c>
      <c r="J360">
        <v>0</v>
      </c>
      <c r="K360" s="6">
        <f>J360/J361</f>
        <v>0</v>
      </c>
      <c r="L360" s="6">
        <f>0/$L$3</f>
        <v>0</v>
      </c>
      <c r="N360">
        <v>0</v>
      </c>
      <c r="O360" s="6">
        <f>N360/N361</f>
        <v>0</v>
      </c>
      <c r="P360" s="6">
        <f>0/$P$3</f>
        <v>0</v>
      </c>
      <c r="R360">
        <v>0</v>
      </c>
      <c r="S360" s="6">
        <f>R360/R361</f>
        <v>0</v>
      </c>
      <c r="T360" s="6">
        <f>0/$T$3</f>
        <v>0</v>
      </c>
      <c r="V360">
        <v>0</v>
      </c>
      <c r="W360" s="6">
        <f>V360/V361</f>
        <v>0</v>
      </c>
      <c r="X360" s="6">
        <f>0/$X$3</f>
        <v>0</v>
      </c>
      <c r="Z360">
        <v>0</v>
      </c>
      <c r="AA360" s="6">
        <f>Z360/Z361</f>
        <v>0</v>
      </c>
      <c r="AB360" s="6">
        <f>0/$AB$3</f>
        <v>0</v>
      </c>
      <c r="AD360">
        <v>0</v>
      </c>
      <c r="AE360" s="6">
        <f>AD360/AD361</f>
        <v>0</v>
      </c>
      <c r="AF360" s="6">
        <f>0/$AF$3</f>
        <v>0</v>
      </c>
      <c r="AH360">
        <v>0</v>
      </c>
      <c r="AI360" s="6">
        <f>AH360/AH361</f>
        <v>0</v>
      </c>
      <c r="AJ360" s="6">
        <f>0/$AJ$3</f>
        <v>0</v>
      </c>
      <c r="AL360">
        <v>0</v>
      </c>
      <c r="AM360" s="6">
        <f>AL360/AL361</f>
        <v>0</v>
      </c>
      <c r="AN360" s="6">
        <f>0/$AN$3</f>
        <v>0</v>
      </c>
      <c r="AP360">
        <v>0</v>
      </c>
      <c r="AQ360" s="6">
        <f>AP360/AP361</f>
        <v>0</v>
      </c>
      <c r="AR360" s="6">
        <f>0/$AR$3</f>
        <v>0</v>
      </c>
      <c r="AT360">
        <v>0</v>
      </c>
      <c r="AU360" s="6">
        <f>AT360/AT361</f>
        <v>0</v>
      </c>
      <c r="AV360" s="6">
        <f>0/$AV$3</f>
        <v>0</v>
      </c>
      <c r="AX360">
        <v>0</v>
      </c>
      <c r="AY360" s="6">
        <f>AX360/AX361</f>
        <v>0</v>
      </c>
      <c r="AZ360" s="6">
        <f>0/$AZ$3</f>
        <v>0</v>
      </c>
      <c r="BB360">
        <v>0</v>
      </c>
      <c r="BC360" s="6">
        <f>BB360/BB361</f>
        <v>0</v>
      </c>
      <c r="BD360" s="6">
        <f>0/$BD$3</f>
        <v>0</v>
      </c>
      <c r="BF360">
        <v>0</v>
      </c>
      <c r="BG360" s="6">
        <f>BF360/BF361</f>
        <v>0</v>
      </c>
      <c r="BH360" s="6">
        <f>0/$BH$3</f>
        <v>0</v>
      </c>
      <c r="BJ360">
        <v>0</v>
      </c>
      <c r="BK360" s="6">
        <f>BJ360/BJ361</f>
        <v>0</v>
      </c>
      <c r="BL360" s="6">
        <f>0/$BL$3</f>
        <v>0</v>
      </c>
      <c r="BN360">
        <v>0</v>
      </c>
      <c r="BO360" s="6">
        <f>BN360/BN361</f>
        <v>0</v>
      </c>
      <c r="BP360" s="6">
        <f>0/$BP$3</f>
        <v>0</v>
      </c>
      <c r="BR360">
        <v>0</v>
      </c>
      <c r="BS360" s="6">
        <f>BR360/BR361</f>
        <v>0</v>
      </c>
      <c r="BT360" s="6">
        <f>0/$BT$3</f>
        <v>0</v>
      </c>
      <c r="BV360">
        <v>0</v>
      </c>
      <c r="BW360" s="6">
        <f>BV360/BV361</f>
        <v>0</v>
      </c>
      <c r="BX360" s="6">
        <f>0/$BX$3</f>
        <v>0</v>
      </c>
      <c r="BZ360">
        <v>0</v>
      </c>
      <c r="CA360" s="6">
        <f>BZ360/BZ361</f>
        <v>0</v>
      </c>
      <c r="CB360" s="6">
        <f>0/$CB$3</f>
        <v>0</v>
      </c>
      <c r="CD360">
        <v>0</v>
      </c>
      <c r="CE360" s="6">
        <f>CD360/CD361</f>
        <v>0</v>
      </c>
      <c r="CF360" s="6">
        <f>0/$CF$3</f>
        <v>0</v>
      </c>
      <c r="CH360">
        <v>0</v>
      </c>
      <c r="CI360" s="6">
        <f>CH360/CH361</f>
        <v>0</v>
      </c>
      <c r="CJ360" s="6">
        <f>0/$CJ$3</f>
        <v>0</v>
      </c>
    </row>
    <row r="361" spans="1:88" s="10" customFormat="1" x14ac:dyDescent="0.35">
      <c r="A361" s="11" t="s">
        <v>411</v>
      </c>
      <c r="B361" s="10">
        <v>1100</v>
      </c>
      <c r="F361" s="10">
        <v>911</v>
      </c>
      <c r="J361" s="10">
        <v>434</v>
      </c>
      <c r="N361" s="10">
        <v>81</v>
      </c>
      <c r="R361" s="10">
        <v>560</v>
      </c>
      <c r="V361" s="10">
        <v>540</v>
      </c>
      <c r="Z361" s="10">
        <v>113</v>
      </c>
      <c r="AD361" s="10">
        <v>198</v>
      </c>
      <c r="AH361" s="10">
        <v>247</v>
      </c>
      <c r="AL361" s="10">
        <v>232</v>
      </c>
      <c r="AP361" s="10">
        <v>186</v>
      </c>
      <c r="AT361" s="10">
        <v>124</v>
      </c>
      <c r="AX361" s="10">
        <v>430</v>
      </c>
      <c r="BB361" s="10">
        <v>428</v>
      </c>
      <c r="BF361" s="10">
        <v>242</v>
      </c>
      <c r="BJ361" s="10">
        <v>403</v>
      </c>
      <c r="BN361" s="10">
        <v>423</v>
      </c>
      <c r="BR361" s="10">
        <v>274</v>
      </c>
      <c r="BV361" s="10">
        <v>305</v>
      </c>
      <c r="BZ361" s="10">
        <v>224</v>
      </c>
      <c r="CD361" s="10">
        <v>241</v>
      </c>
      <c r="CH361" s="10">
        <v>330</v>
      </c>
    </row>
    <row r="362" spans="1:88" hidden="1" x14ac:dyDescent="0.35">
      <c r="A362" s="12" t="s">
        <v>412</v>
      </c>
      <c r="B362">
        <v>0</v>
      </c>
      <c r="F362">
        <v>0</v>
      </c>
      <c r="J362">
        <v>0</v>
      </c>
      <c r="N362">
        <v>0</v>
      </c>
      <c r="R362">
        <v>0</v>
      </c>
      <c r="V362">
        <v>0</v>
      </c>
      <c r="Z362">
        <v>0</v>
      </c>
      <c r="AD362">
        <v>0</v>
      </c>
      <c r="AH362">
        <v>0</v>
      </c>
      <c r="AL362">
        <v>0</v>
      </c>
      <c r="AP362">
        <v>0</v>
      </c>
      <c r="AT362">
        <v>0</v>
      </c>
      <c r="AX362">
        <v>0</v>
      </c>
      <c r="BB362">
        <v>0</v>
      </c>
      <c r="BF362">
        <v>0</v>
      </c>
      <c r="BJ362">
        <v>0</v>
      </c>
      <c r="BN362">
        <v>0</v>
      </c>
      <c r="BR362">
        <v>0</v>
      </c>
      <c r="BV362">
        <v>0</v>
      </c>
      <c r="BZ362">
        <v>0</v>
      </c>
      <c r="CD362">
        <v>0</v>
      </c>
      <c r="CH362">
        <v>0</v>
      </c>
    </row>
    <row r="363" spans="1:88" hidden="1" x14ac:dyDescent="0.35">
      <c r="A363" s="12" t="s">
        <v>413</v>
      </c>
      <c r="B363">
        <v>0</v>
      </c>
      <c r="F363">
        <v>0</v>
      </c>
      <c r="J363">
        <v>0</v>
      </c>
      <c r="N363">
        <v>0</v>
      </c>
      <c r="R363">
        <v>0</v>
      </c>
      <c r="V363">
        <v>0</v>
      </c>
      <c r="Z363">
        <v>0</v>
      </c>
      <c r="AD363">
        <v>0</v>
      </c>
      <c r="AH363">
        <v>0</v>
      </c>
      <c r="AL363">
        <v>0</v>
      </c>
      <c r="AP363">
        <v>0</v>
      </c>
      <c r="AT363">
        <v>0</v>
      </c>
      <c r="AX363">
        <v>0</v>
      </c>
      <c r="BB363">
        <v>0</v>
      </c>
      <c r="BF363">
        <v>0</v>
      </c>
      <c r="BJ363">
        <v>0</v>
      </c>
      <c r="BN363">
        <v>0</v>
      </c>
      <c r="BR363">
        <v>0</v>
      </c>
      <c r="BV363">
        <v>0</v>
      </c>
      <c r="BZ363">
        <v>0</v>
      </c>
      <c r="CD363">
        <v>0</v>
      </c>
      <c r="CH363">
        <v>0</v>
      </c>
    </row>
    <row r="365" spans="1:88" x14ac:dyDescent="0.35">
      <c r="AB365" s="2" t="s">
        <v>3</v>
      </c>
      <c r="AF365" s="2" t="s">
        <v>4</v>
      </c>
      <c r="AJ365" s="2" t="s">
        <v>5</v>
      </c>
      <c r="AN365" s="2" t="s">
        <v>6</v>
      </c>
      <c r="AR365" s="2" t="s">
        <v>7</v>
      </c>
      <c r="AV365" s="2" t="s">
        <v>8</v>
      </c>
      <c r="AZ365" s="2" t="s">
        <v>3</v>
      </c>
      <c r="BD365" s="2" t="s">
        <v>4</v>
      </c>
      <c r="BH365" s="2" t="s">
        <v>5</v>
      </c>
      <c r="BL365" s="2" t="s">
        <v>3</v>
      </c>
      <c r="BP365" s="2" t="s">
        <v>4</v>
      </c>
      <c r="BT365" s="2" t="s">
        <v>5</v>
      </c>
      <c r="BX365" s="2" t="s">
        <v>3</v>
      </c>
      <c r="CB365" s="2" t="s">
        <v>4</v>
      </c>
      <c r="CF365" s="2" t="s">
        <v>5</v>
      </c>
      <c r="CJ365" s="2" t="s">
        <v>6</v>
      </c>
    </row>
    <row r="366" spans="1:88" s="3" customFormat="1" x14ac:dyDescent="0.35">
      <c r="A366" s="4" t="str">
        <f>HYPERLINK("#skylink_emo!A1","Jaký pocit ze značky **Skylink** máte?")</f>
        <v>Jaký pocit ze značky **Skylink** máte?</v>
      </c>
      <c r="D366" s="5" t="s">
        <v>406</v>
      </c>
      <c r="H366" s="5" t="s">
        <v>406</v>
      </c>
      <c r="L366" s="5" t="s">
        <v>406</v>
      </c>
      <c r="P366" s="5" t="s">
        <v>406</v>
      </c>
      <c r="T366" s="5" t="s">
        <v>406</v>
      </c>
      <c r="X366" s="5" t="s">
        <v>406</v>
      </c>
      <c r="AB366" s="5" t="s">
        <v>406</v>
      </c>
      <c r="AF366" s="5" t="s">
        <v>406</v>
      </c>
      <c r="AJ366" s="5" t="s">
        <v>406</v>
      </c>
      <c r="AN366" s="5" t="s">
        <v>406</v>
      </c>
      <c r="AR366" s="5" t="s">
        <v>406</v>
      </c>
      <c r="AV366" s="5" t="s">
        <v>406</v>
      </c>
      <c r="AZ366" s="5" t="s">
        <v>406</v>
      </c>
      <c r="BD366" s="5" t="s">
        <v>406</v>
      </c>
      <c r="BH366" s="5" t="s">
        <v>406</v>
      </c>
      <c r="BL366" s="5" t="s">
        <v>406</v>
      </c>
      <c r="BP366" s="5" t="s">
        <v>406</v>
      </c>
      <c r="BT366" s="5" t="s">
        <v>406</v>
      </c>
      <c r="BX366" s="5" t="s">
        <v>406</v>
      </c>
      <c r="CB366" s="5" t="s">
        <v>406</v>
      </c>
      <c r="CF366" s="5" t="s">
        <v>406</v>
      </c>
      <c r="CJ366" s="5" t="s">
        <v>406</v>
      </c>
    </row>
    <row r="367" spans="1:88" x14ac:dyDescent="0.35">
      <c r="A367" s="1" t="s">
        <v>628</v>
      </c>
      <c r="B367">
        <v>71</v>
      </c>
      <c r="C367" s="6">
        <f>B367/B373</f>
        <v>8.6165048543689324E-2</v>
      </c>
      <c r="D367" s="6">
        <f>71/$D$3</f>
        <v>6.4545454545454545E-2</v>
      </c>
      <c r="F367">
        <v>66</v>
      </c>
      <c r="G367" s="6">
        <f>F367/F373</f>
        <v>9.269662921348315E-2</v>
      </c>
      <c r="H367" s="6">
        <f>66/$H$3</f>
        <v>7.2447859495060371E-2</v>
      </c>
      <c r="J367">
        <v>35</v>
      </c>
      <c r="K367" s="6">
        <f>J367/J373</f>
        <v>0.10703363914373089</v>
      </c>
      <c r="L367" s="6">
        <f>35/$L$3</f>
        <v>8.0645161290322578E-2</v>
      </c>
      <c r="N367">
        <v>5</v>
      </c>
      <c r="O367" s="6">
        <f>N367/N373</f>
        <v>7.575757575757576E-2</v>
      </c>
      <c r="P367" s="6">
        <f>5/$P$3</f>
        <v>6.1728395061728392E-2</v>
      </c>
      <c r="R367">
        <v>34</v>
      </c>
      <c r="S367" s="6">
        <f>R367/R373</f>
        <v>8.1145584725536998E-2</v>
      </c>
      <c r="T367" s="6">
        <f>34/$T$3</f>
        <v>6.0714285714285714E-2</v>
      </c>
      <c r="V367">
        <v>37</v>
      </c>
      <c r="W367" s="6">
        <f>V367/V373</f>
        <v>9.1358024691358022E-2</v>
      </c>
      <c r="X367" s="6">
        <f>37/$X$3</f>
        <v>6.851851851851852E-2</v>
      </c>
      <c r="Z367">
        <v>8</v>
      </c>
      <c r="AA367" s="6">
        <f>Z367/Z373</f>
        <v>0.11267605633802817</v>
      </c>
      <c r="AB367" s="6">
        <f>8/$AB$3</f>
        <v>7.0796460176991149E-2</v>
      </c>
      <c r="AD367">
        <v>14</v>
      </c>
      <c r="AE367" s="6">
        <f>AD367/AD373</f>
        <v>9.6551724137931033E-2</v>
      </c>
      <c r="AF367" s="6">
        <f>14/$AF$3</f>
        <v>7.0707070707070704E-2</v>
      </c>
      <c r="AH367">
        <v>14</v>
      </c>
      <c r="AI367" s="6">
        <f>AH367/AH373</f>
        <v>7.407407407407407E-2</v>
      </c>
      <c r="AJ367" s="6">
        <f>14/$AJ$3</f>
        <v>5.6680161943319839E-2</v>
      </c>
      <c r="AL367">
        <v>12</v>
      </c>
      <c r="AM367" s="6">
        <f>AL367/AL373</f>
        <v>6.7796610169491525E-2</v>
      </c>
      <c r="AN367" s="6">
        <f>12/$AN$3</f>
        <v>5.1724137931034482E-2</v>
      </c>
      <c r="AP367">
        <v>14</v>
      </c>
      <c r="AQ367" s="6">
        <f>AP367/AP373</f>
        <v>9.8591549295774641E-2</v>
      </c>
      <c r="AR367" s="6">
        <f>14/$AR$3</f>
        <v>7.5268817204301078E-2</v>
      </c>
      <c r="AT367">
        <v>9</v>
      </c>
      <c r="AU367" s="6">
        <f>AT367/AT373</f>
        <v>0.09</v>
      </c>
      <c r="AV367" s="6">
        <f>9/$AV$3</f>
        <v>7.2580645161290328E-2</v>
      </c>
      <c r="AX367">
        <v>38</v>
      </c>
      <c r="AY367" s="6">
        <f>AX367/AX373</f>
        <v>0.12418300653594772</v>
      </c>
      <c r="AZ367" s="6">
        <f>38/$AZ$3</f>
        <v>8.8372093023255813E-2</v>
      </c>
      <c r="BB367">
        <v>23</v>
      </c>
      <c r="BC367" s="6">
        <f>BB367/BB373</f>
        <v>6.9069069069069067E-2</v>
      </c>
      <c r="BD367" s="6">
        <f>23/$BD$3</f>
        <v>5.3738317757009345E-2</v>
      </c>
      <c r="BF367">
        <v>10</v>
      </c>
      <c r="BG367" s="6">
        <f>BF367/BF373</f>
        <v>5.4054054054054057E-2</v>
      </c>
      <c r="BH367" s="6">
        <f>10/$BH$3</f>
        <v>4.1322314049586778E-2</v>
      </c>
      <c r="BJ367">
        <v>22</v>
      </c>
      <c r="BK367" s="6">
        <f>BJ367/BJ373</f>
        <v>7.6388888888888895E-2</v>
      </c>
      <c r="BL367" s="6">
        <f>22/$BL$3</f>
        <v>5.4590570719602979E-2</v>
      </c>
      <c r="BN367">
        <v>32</v>
      </c>
      <c r="BO367" s="6">
        <f>BN367/BN373</f>
        <v>0.10126582278481013</v>
      </c>
      <c r="BP367" s="6">
        <f>32/$BP$3</f>
        <v>7.5650118203309691E-2</v>
      </c>
      <c r="BR367">
        <v>17</v>
      </c>
      <c r="BS367" s="6">
        <f>BR367/BR373</f>
        <v>7.7272727272727271E-2</v>
      </c>
      <c r="BT367" s="6">
        <f>17/$BT$3</f>
        <v>6.2043795620437957E-2</v>
      </c>
      <c r="BV367">
        <v>20</v>
      </c>
      <c r="BW367" s="6">
        <f>BV367/BV373</f>
        <v>8.8495575221238937E-2</v>
      </c>
      <c r="BX367" s="6">
        <f>20/$BX$3</f>
        <v>6.5573770491803282E-2</v>
      </c>
      <c r="BZ367">
        <v>19</v>
      </c>
      <c r="CA367" s="6">
        <f>BZ367/BZ373</f>
        <v>0.10919540229885058</v>
      </c>
      <c r="CB367" s="6">
        <f>19/$CB$3</f>
        <v>8.4821428571428575E-2</v>
      </c>
      <c r="CD367">
        <v>16</v>
      </c>
      <c r="CE367" s="6">
        <f>CD367/CD373</f>
        <v>8.6021505376344093E-2</v>
      </c>
      <c r="CF367" s="6">
        <f>16/$CF$3</f>
        <v>6.6390041493775934E-2</v>
      </c>
      <c r="CH367">
        <v>16</v>
      </c>
      <c r="CI367" s="6">
        <f>CH367/CH373</f>
        <v>6.7226890756302518E-2</v>
      </c>
      <c r="CJ367" s="6">
        <f>16/$CJ$3</f>
        <v>4.8484848484848485E-2</v>
      </c>
    </row>
    <row r="368" spans="1:88" x14ac:dyDescent="0.35">
      <c r="A368" s="1" t="s">
        <v>630</v>
      </c>
      <c r="B368">
        <v>259</v>
      </c>
      <c r="C368" s="6">
        <f>B368/B373</f>
        <v>0.31432038834951459</v>
      </c>
      <c r="D368" s="6">
        <f>259/$D$3</f>
        <v>0.23545454545454544</v>
      </c>
      <c r="F368">
        <v>228</v>
      </c>
      <c r="G368" s="6">
        <f>F368/F373</f>
        <v>0.3202247191011236</v>
      </c>
      <c r="H368" s="6">
        <f>228/$H$3</f>
        <v>0.25027442371020858</v>
      </c>
      <c r="J368">
        <v>102</v>
      </c>
      <c r="K368" s="6">
        <f>J368/J373</f>
        <v>0.31192660550458717</v>
      </c>
      <c r="L368" s="6">
        <f>102/$L$3</f>
        <v>0.23502304147465439</v>
      </c>
      <c r="N368">
        <v>33</v>
      </c>
      <c r="O368" s="6">
        <f>N368/N373</f>
        <v>0.5</v>
      </c>
      <c r="P368" s="9">
        <f>33/$P$3</f>
        <v>0.40740740740740738</v>
      </c>
      <c r="R368">
        <v>119</v>
      </c>
      <c r="S368" s="6">
        <f>R368/R373</f>
        <v>0.28400954653937949</v>
      </c>
      <c r="T368" s="6">
        <f>119/$T$3</f>
        <v>0.21249999999999999</v>
      </c>
      <c r="V368">
        <v>140</v>
      </c>
      <c r="W368" s="6">
        <f>V368/V373</f>
        <v>0.34567901234567899</v>
      </c>
      <c r="X368" s="6">
        <f>140/$X$3</f>
        <v>0.25925925925925924</v>
      </c>
      <c r="Z368">
        <v>22</v>
      </c>
      <c r="AA368" s="6">
        <f>Z368/Z373</f>
        <v>0.30985915492957744</v>
      </c>
      <c r="AB368" s="6">
        <f>22/$AB$3</f>
        <v>0.19469026548672566</v>
      </c>
      <c r="AD368">
        <v>45</v>
      </c>
      <c r="AE368" s="6">
        <f>AD368/AD373</f>
        <v>0.31034482758620691</v>
      </c>
      <c r="AF368" s="6">
        <f>45/$AF$3</f>
        <v>0.22727272727272727</v>
      </c>
      <c r="AH368">
        <v>55</v>
      </c>
      <c r="AI368" s="6">
        <f>AH368/AH373</f>
        <v>0.29100529100529099</v>
      </c>
      <c r="AJ368" s="6">
        <f>55/$AJ$3</f>
        <v>0.22267206477732793</v>
      </c>
      <c r="AL368">
        <v>59</v>
      </c>
      <c r="AM368" s="6">
        <f>AL368/AL373</f>
        <v>0.33333333333333331</v>
      </c>
      <c r="AN368" s="6">
        <f>59/$AN$3</f>
        <v>0.25431034482758619</v>
      </c>
      <c r="AP368">
        <v>46</v>
      </c>
      <c r="AQ368" s="6">
        <f>AP368/AP373</f>
        <v>0.323943661971831</v>
      </c>
      <c r="AR368" s="6">
        <f>46/$AR$3</f>
        <v>0.24731182795698925</v>
      </c>
      <c r="AT368">
        <v>32</v>
      </c>
      <c r="AU368" s="6">
        <f>AT368/AT373</f>
        <v>0.32</v>
      </c>
      <c r="AV368" s="6">
        <f>32/$AV$3</f>
        <v>0.25806451612903225</v>
      </c>
      <c r="AX368">
        <v>95</v>
      </c>
      <c r="AY368" s="6">
        <f>AX368/AX373</f>
        <v>0.31045751633986929</v>
      </c>
      <c r="AZ368" s="6">
        <f>95/$AZ$3</f>
        <v>0.22093023255813954</v>
      </c>
      <c r="BB368">
        <v>122</v>
      </c>
      <c r="BC368" s="6">
        <f>BB368/BB373</f>
        <v>0.36636636636636638</v>
      </c>
      <c r="BD368" s="6">
        <f>122/$BD$3</f>
        <v>0.28504672897196259</v>
      </c>
      <c r="BE368" s="7" t="s">
        <v>5</v>
      </c>
      <c r="BF368">
        <v>42</v>
      </c>
      <c r="BG368" s="6">
        <f>BF368/BF373</f>
        <v>0.22702702702702704</v>
      </c>
      <c r="BH368" s="8">
        <f>42/$BH$3</f>
        <v>0.17355371900826447</v>
      </c>
      <c r="BJ368">
        <v>99</v>
      </c>
      <c r="BK368" s="6">
        <f>BJ368/BJ373</f>
        <v>0.34375</v>
      </c>
      <c r="BL368" s="6">
        <f>99/$BL$3</f>
        <v>0.24565756823821339</v>
      </c>
      <c r="BN368">
        <v>105</v>
      </c>
      <c r="BO368" s="6">
        <f>BN368/BN373</f>
        <v>0.33227848101265822</v>
      </c>
      <c r="BP368" s="6">
        <f>105/$BP$3</f>
        <v>0.24822695035460993</v>
      </c>
      <c r="BR368">
        <v>55</v>
      </c>
      <c r="BS368" s="6">
        <f>BR368/BR373</f>
        <v>0.25</v>
      </c>
      <c r="BT368" s="6">
        <f>55/$BT$3</f>
        <v>0.20072992700729927</v>
      </c>
      <c r="BV368">
        <v>73</v>
      </c>
      <c r="BW368" s="6">
        <f>BV368/BV373</f>
        <v>0.32300884955752213</v>
      </c>
      <c r="BX368" s="6">
        <f>73/$BX$3</f>
        <v>0.23934426229508196</v>
      </c>
      <c r="BZ368">
        <v>59</v>
      </c>
      <c r="CA368" s="6">
        <f>BZ368/BZ373</f>
        <v>0.33908045977011492</v>
      </c>
      <c r="CB368" s="6">
        <f>59/$CB$3</f>
        <v>0.26339285714285715</v>
      </c>
      <c r="CD368">
        <v>59</v>
      </c>
      <c r="CE368" s="6">
        <f>CD368/CD373</f>
        <v>0.31720430107526881</v>
      </c>
      <c r="CF368" s="6">
        <f>59/$CF$3</f>
        <v>0.24481327800829875</v>
      </c>
      <c r="CH368">
        <v>68</v>
      </c>
      <c r="CI368" s="6">
        <f>CH368/CH373</f>
        <v>0.2857142857142857</v>
      </c>
      <c r="CJ368" s="6">
        <f>68/$CJ$3</f>
        <v>0.20606060606060606</v>
      </c>
    </row>
    <row r="369" spans="1:88" x14ac:dyDescent="0.35">
      <c r="A369" s="1" t="s">
        <v>637</v>
      </c>
      <c r="B369">
        <v>403</v>
      </c>
      <c r="C369" s="6">
        <f>B369/B373</f>
        <v>0.48907766990291263</v>
      </c>
      <c r="D369" s="6">
        <f>403/$D$3</f>
        <v>0.36636363636363639</v>
      </c>
      <c r="F369">
        <v>344</v>
      </c>
      <c r="G369" s="6">
        <f>F369/F373</f>
        <v>0.48314606741573035</v>
      </c>
      <c r="H369" s="6">
        <f>344/$H$3</f>
        <v>0.37760702524698136</v>
      </c>
      <c r="J369">
        <v>152</v>
      </c>
      <c r="K369" s="6">
        <f>J369/J373</f>
        <v>0.46483180428134557</v>
      </c>
      <c r="L369" s="6">
        <f>152/$L$3</f>
        <v>0.35023041474654376</v>
      </c>
      <c r="N369">
        <v>24</v>
      </c>
      <c r="O369" s="6">
        <f>N369/N373</f>
        <v>0.36363636363636365</v>
      </c>
      <c r="P369" s="6">
        <f>24/$P$3</f>
        <v>0.29629629629629628</v>
      </c>
      <c r="R369">
        <v>203</v>
      </c>
      <c r="S369" s="6">
        <f>R369/R373</f>
        <v>0.48448687350835323</v>
      </c>
      <c r="T369" s="6">
        <f>203/$T$3</f>
        <v>0.36249999999999999</v>
      </c>
      <c r="V369">
        <v>200</v>
      </c>
      <c r="W369" s="6">
        <f>V369/V373</f>
        <v>0.49382716049382713</v>
      </c>
      <c r="X369" s="6">
        <f>200/$X$3</f>
        <v>0.37037037037037035</v>
      </c>
      <c r="Z369">
        <v>35</v>
      </c>
      <c r="AA369" s="6">
        <f>Z369/Z373</f>
        <v>0.49295774647887325</v>
      </c>
      <c r="AB369" s="6">
        <f>35/$AB$3</f>
        <v>0.30973451327433627</v>
      </c>
      <c r="AD369">
        <v>74</v>
      </c>
      <c r="AE369" s="6">
        <f>AD369/AD373</f>
        <v>0.51034482758620692</v>
      </c>
      <c r="AF369" s="6">
        <f>74/$AF$3</f>
        <v>0.37373737373737376</v>
      </c>
      <c r="AH369">
        <v>97</v>
      </c>
      <c r="AI369" s="6">
        <f>AH369/AH373</f>
        <v>0.51322751322751325</v>
      </c>
      <c r="AJ369" s="6">
        <f>97/$AJ$3</f>
        <v>0.39271255060728744</v>
      </c>
      <c r="AL369">
        <v>88</v>
      </c>
      <c r="AM369" s="6">
        <f>AL369/AL373</f>
        <v>0.49717514124293788</v>
      </c>
      <c r="AN369" s="6">
        <f>88/$AN$3</f>
        <v>0.37931034482758619</v>
      </c>
      <c r="AP369">
        <v>66</v>
      </c>
      <c r="AQ369" s="6">
        <f>AP369/AP373</f>
        <v>0.46478873239436619</v>
      </c>
      <c r="AR369" s="6">
        <f>66/$AR$3</f>
        <v>0.35483870967741937</v>
      </c>
      <c r="AT369">
        <v>43</v>
      </c>
      <c r="AU369" s="6">
        <f>AT369/AT373</f>
        <v>0.43</v>
      </c>
      <c r="AV369" s="6">
        <f>43/$AV$3</f>
        <v>0.34677419354838712</v>
      </c>
      <c r="AX369">
        <v>139</v>
      </c>
      <c r="AY369" s="6">
        <f>AX369/AX373</f>
        <v>0.45424836601307189</v>
      </c>
      <c r="AZ369" s="6">
        <f>139/$AZ$3</f>
        <v>0.32325581395348835</v>
      </c>
      <c r="BB369">
        <v>153</v>
      </c>
      <c r="BC369" s="6">
        <f>BB369/BB373</f>
        <v>0.45945945945945948</v>
      </c>
      <c r="BD369" s="6">
        <f>153/$BD$3</f>
        <v>0.3574766355140187</v>
      </c>
      <c r="BF369">
        <v>111</v>
      </c>
      <c r="BG369" s="6">
        <f>BF369/BF373</f>
        <v>0.6</v>
      </c>
      <c r="BH369" s="9">
        <f>111/$BH$3</f>
        <v>0.45867768595041325</v>
      </c>
      <c r="BI369" s="7" t="s">
        <v>3</v>
      </c>
      <c r="BJ369">
        <v>135</v>
      </c>
      <c r="BK369" s="6">
        <f>BJ369/BJ373</f>
        <v>0.46875</v>
      </c>
      <c r="BL369" s="6">
        <f>135/$BL$3</f>
        <v>0.33498759305210918</v>
      </c>
      <c r="BN369">
        <v>142</v>
      </c>
      <c r="BO369" s="6">
        <f>BN369/BN373</f>
        <v>0.44936708860759494</v>
      </c>
      <c r="BP369" s="6">
        <f>142/$BP$3</f>
        <v>0.33569739952718675</v>
      </c>
      <c r="BR369">
        <v>126</v>
      </c>
      <c r="BS369" s="6">
        <f>BR369/BR373</f>
        <v>0.57272727272727275</v>
      </c>
      <c r="BT369" s="9">
        <f>126/$BT$3</f>
        <v>0.45985401459854014</v>
      </c>
      <c r="BU369" s="7"/>
      <c r="BV369">
        <v>104</v>
      </c>
      <c r="BW369" s="6">
        <f>BV369/BV373</f>
        <v>0.46017699115044247</v>
      </c>
      <c r="BX369" s="6">
        <f>104/$BX$3</f>
        <v>0.34098360655737703</v>
      </c>
      <c r="BZ369">
        <v>72</v>
      </c>
      <c r="CA369" s="6">
        <f>BZ369/BZ373</f>
        <v>0.41379310344827586</v>
      </c>
      <c r="CB369" s="6">
        <f>72/$CB$3</f>
        <v>0.32142857142857145</v>
      </c>
      <c r="CD369">
        <v>93</v>
      </c>
      <c r="CE369" s="6">
        <f>CD369/CD373</f>
        <v>0.5</v>
      </c>
      <c r="CF369" s="6">
        <f>93/$CF$3</f>
        <v>0.38589211618257263</v>
      </c>
      <c r="CH369">
        <v>134</v>
      </c>
      <c r="CI369" s="6">
        <f>CH369/CH373</f>
        <v>0.56302521008403361</v>
      </c>
      <c r="CJ369" s="6">
        <f>134/$CJ$3</f>
        <v>0.40606060606060607</v>
      </c>
    </row>
    <row r="370" spans="1:88" x14ac:dyDescent="0.35">
      <c r="A370" s="1" t="s">
        <v>632</v>
      </c>
      <c r="B370">
        <v>60</v>
      </c>
      <c r="C370" s="6">
        <f>B370/B373</f>
        <v>7.281553398058252E-2</v>
      </c>
      <c r="D370" s="6">
        <f>60/$D$3</f>
        <v>5.4545454545454543E-2</v>
      </c>
      <c r="F370">
        <v>48</v>
      </c>
      <c r="G370" s="6">
        <f>F370/F373</f>
        <v>6.741573033707865E-2</v>
      </c>
      <c r="H370" s="6">
        <f>48/$H$3</f>
        <v>5.2689352360043906E-2</v>
      </c>
      <c r="J370">
        <v>25</v>
      </c>
      <c r="K370" s="6">
        <f>J370/J373</f>
        <v>7.64525993883792E-2</v>
      </c>
      <c r="L370" s="6">
        <f>25/$L$3</f>
        <v>5.7603686635944701E-2</v>
      </c>
      <c r="N370">
        <v>2</v>
      </c>
      <c r="O370" s="6">
        <f>N370/N373</f>
        <v>3.0303030303030304E-2</v>
      </c>
      <c r="P370" s="6">
        <f>2/$P$3</f>
        <v>2.4691358024691357E-2</v>
      </c>
      <c r="R370">
        <v>39</v>
      </c>
      <c r="S370" s="6">
        <f>R370/R373</f>
        <v>9.3078758949880672E-2</v>
      </c>
      <c r="T370" s="6">
        <f>39/$T$3</f>
        <v>6.9642857142857145E-2</v>
      </c>
      <c r="V370">
        <v>21</v>
      </c>
      <c r="W370" s="6">
        <f>V370/V373</f>
        <v>5.185185185185185E-2</v>
      </c>
      <c r="X370" s="6">
        <f>21/$X$3</f>
        <v>3.888888888888889E-2</v>
      </c>
      <c r="Z370">
        <v>4</v>
      </c>
      <c r="AA370" s="6">
        <f>Z370/Z373</f>
        <v>5.6338028169014086E-2</v>
      </c>
      <c r="AB370" s="6">
        <f>4/$AB$3</f>
        <v>3.5398230088495575E-2</v>
      </c>
      <c r="AD370">
        <v>9</v>
      </c>
      <c r="AE370" s="6">
        <f>AD370/AD373</f>
        <v>6.2068965517241378E-2</v>
      </c>
      <c r="AF370" s="6">
        <f>9/$AF$3</f>
        <v>4.5454545454545456E-2</v>
      </c>
      <c r="AH370">
        <v>15</v>
      </c>
      <c r="AI370" s="6">
        <f>AH370/AH373</f>
        <v>7.9365079365079361E-2</v>
      </c>
      <c r="AJ370" s="6">
        <f>15/$AJ$3</f>
        <v>6.0728744939271252E-2</v>
      </c>
      <c r="AL370">
        <v>12</v>
      </c>
      <c r="AM370" s="6">
        <f>AL370/AL373</f>
        <v>6.7796610169491525E-2</v>
      </c>
      <c r="AN370" s="6">
        <f>12/$AN$3</f>
        <v>5.1724137931034482E-2</v>
      </c>
      <c r="AP370">
        <v>10</v>
      </c>
      <c r="AQ370" s="6">
        <f>AP370/AP373</f>
        <v>7.0422535211267609E-2</v>
      </c>
      <c r="AR370" s="6">
        <f>10/$AR$3</f>
        <v>5.3763440860215055E-2</v>
      </c>
      <c r="AT370">
        <v>10</v>
      </c>
      <c r="AU370" s="6">
        <f>AT370/AT373</f>
        <v>0.1</v>
      </c>
      <c r="AV370" s="6">
        <f>10/$AV$3</f>
        <v>8.0645161290322578E-2</v>
      </c>
      <c r="AX370">
        <v>26</v>
      </c>
      <c r="AY370" s="6">
        <f>AX370/AX373</f>
        <v>8.4967320261437912E-2</v>
      </c>
      <c r="AZ370" s="6">
        <f>26/$AZ$3</f>
        <v>6.0465116279069767E-2</v>
      </c>
      <c r="BB370">
        <v>19</v>
      </c>
      <c r="BC370" s="6">
        <f>BB370/BB373</f>
        <v>5.7057057057057055E-2</v>
      </c>
      <c r="BD370" s="6">
        <f>19/$BD$3</f>
        <v>4.4392523364485979E-2</v>
      </c>
      <c r="BF370">
        <v>15</v>
      </c>
      <c r="BG370" s="6">
        <f>BF370/BF373</f>
        <v>8.1081081081081086E-2</v>
      </c>
      <c r="BH370" s="6">
        <f>15/$BH$3</f>
        <v>6.1983471074380167E-2</v>
      </c>
      <c r="BJ370">
        <v>19</v>
      </c>
      <c r="BK370" s="6">
        <f>BJ370/BJ373</f>
        <v>6.5972222222222224E-2</v>
      </c>
      <c r="BL370" s="6">
        <f>19/$BL$3</f>
        <v>4.7146401985111663E-2</v>
      </c>
      <c r="BN370">
        <v>29</v>
      </c>
      <c r="BO370" s="6">
        <f>BN370/BN373</f>
        <v>9.1772151898734181E-2</v>
      </c>
      <c r="BP370" s="6">
        <f>29/$BP$3</f>
        <v>6.8557919621749411E-2</v>
      </c>
      <c r="BR370">
        <v>12</v>
      </c>
      <c r="BS370" s="6">
        <f>BR370/BR373</f>
        <v>5.4545454545454543E-2</v>
      </c>
      <c r="BT370" s="6">
        <f>12/$BT$3</f>
        <v>4.3795620437956206E-2</v>
      </c>
      <c r="BV370">
        <v>17</v>
      </c>
      <c r="BW370" s="6">
        <f>BV370/BV373</f>
        <v>7.5221238938053103E-2</v>
      </c>
      <c r="BX370" s="6">
        <f>17/$BX$3</f>
        <v>5.5737704918032788E-2</v>
      </c>
      <c r="BZ370">
        <v>14</v>
      </c>
      <c r="CA370" s="6">
        <f>BZ370/BZ373</f>
        <v>8.0459770114942528E-2</v>
      </c>
      <c r="CB370" s="6">
        <f>14/$CB$3</f>
        <v>6.25E-2</v>
      </c>
      <c r="CD370">
        <v>14</v>
      </c>
      <c r="CE370" s="6">
        <f>CD370/CD373</f>
        <v>7.5268817204301078E-2</v>
      </c>
      <c r="CF370" s="6">
        <f>14/$CF$3</f>
        <v>5.8091286307053944E-2</v>
      </c>
      <c r="CH370">
        <v>15</v>
      </c>
      <c r="CI370" s="6">
        <f>CH370/CH373</f>
        <v>6.3025210084033612E-2</v>
      </c>
      <c r="CJ370" s="6">
        <f>15/$CJ$3</f>
        <v>4.5454545454545456E-2</v>
      </c>
    </row>
    <row r="371" spans="1:88" x14ac:dyDescent="0.35">
      <c r="A371" s="1" t="s">
        <v>646</v>
      </c>
      <c r="B371">
        <v>31</v>
      </c>
      <c r="C371" s="6">
        <f>B371/B373</f>
        <v>3.7621359223300968E-2</v>
      </c>
      <c r="D371" s="6">
        <f>31/$D$3</f>
        <v>2.8181818181818183E-2</v>
      </c>
      <c r="F371">
        <v>26</v>
      </c>
      <c r="G371" s="6">
        <f>F371/F373</f>
        <v>3.6516853932584269E-2</v>
      </c>
      <c r="H371" s="6">
        <f>26/$H$3</f>
        <v>2.8540065861690452E-2</v>
      </c>
      <c r="J371">
        <v>13</v>
      </c>
      <c r="K371" s="6">
        <f>J371/J373</f>
        <v>3.9755351681957186E-2</v>
      </c>
      <c r="L371" s="6">
        <f>13/$L$3</f>
        <v>2.9953917050691243E-2</v>
      </c>
      <c r="N371">
        <v>2</v>
      </c>
      <c r="O371" s="6">
        <f>N371/N373</f>
        <v>3.0303030303030304E-2</v>
      </c>
      <c r="P371" s="6">
        <f>2/$P$3</f>
        <v>2.4691358024691357E-2</v>
      </c>
      <c r="R371">
        <v>24</v>
      </c>
      <c r="S371" s="6">
        <f>R371/R373</f>
        <v>5.7279236276849645E-2</v>
      </c>
      <c r="T371" s="6">
        <f>24/$T$3</f>
        <v>4.2857142857142858E-2</v>
      </c>
      <c r="V371">
        <v>7</v>
      </c>
      <c r="W371" s="6">
        <f>V371/V373</f>
        <v>1.7283950617283949E-2</v>
      </c>
      <c r="X371" s="6">
        <f>7/$X$3</f>
        <v>1.2962962962962963E-2</v>
      </c>
      <c r="Z371">
        <v>2</v>
      </c>
      <c r="AA371" s="6">
        <f>Z371/Z373</f>
        <v>2.8169014084507043E-2</v>
      </c>
      <c r="AB371" s="6">
        <f>2/$AB$3</f>
        <v>1.7699115044247787E-2</v>
      </c>
      <c r="AD371">
        <v>3</v>
      </c>
      <c r="AE371" s="6">
        <f>AD371/AD373</f>
        <v>2.0689655172413793E-2</v>
      </c>
      <c r="AF371" s="6">
        <f>3/$AF$3</f>
        <v>1.5151515151515152E-2</v>
      </c>
      <c r="AH371">
        <v>8</v>
      </c>
      <c r="AI371" s="6">
        <f>AH371/AH373</f>
        <v>4.2328042328042326E-2</v>
      </c>
      <c r="AJ371" s="6">
        <f>8/$AJ$3</f>
        <v>3.2388663967611336E-2</v>
      </c>
      <c r="AL371">
        <v>6</v>
      </c>
      <c r="AM371" s="6">
        <f>AL371/AL373</f>
        <v>3.3898305084745763E-2</v>
      </c>
      <c r="AN371" s="6">
        <f>6/$AN$3</f>
        <v>2.5862068965517241E-2</v>
      </c>
      <c r="AP371">
        <v>6</v>
      </c>
      <c r="AQ371" s="6">
        <f>AP371/AP373</f>
        <v>4.2253521126760563E-2</v>
      </c>
      <c r="AR371" s="6">
        <f>6/$AR$3</f>
        <v>3.2258064516129031E-2</v>
      </c>
      <c r="AT371">
        <v>6</v>
      </c>
      <c r="AU371" s="6">
        <f>AT371/AT373</f>
        <v>0.06</v>
      </c>
      <c r="AV371" s="6">
        <f>6/$AV$3</f>
        <v>4.8387096774193547E-2</v>
      </c>
      <c r="AX371">
        <v>8</v>
      </c>
      <c r="AY371" s="6">
        <f>AX371/AX373</f>
        <v>2.6143790849673203E-2</v>
      </c>
      <c r="AZ371" s="6">
        <f>8/$AZ$3</f>
        <v>1.8604651162790697E-2</v>
      </c>
      <c r="BB371">
        <v>16</v>
      </c>
      <c r="BC371" s="6">
        <f>BB371/BB373</f>
        <v>4.8048048048048048E-2</v>
      </c>
      <c r="BD371" s="6">
        <f>16/$BD$3</f>
        <v>3.7383177570093455E-2</v>
      </c>
      <c r="BF371">
        <v>7</v>
      </c>
      <c r="BG371" s="6">
        <f>BF371/BF373</f>
        <v>3.783783783783784E-2</v>
      </c>
      <c r="BH371" s="6">
        <f>7/$BH$3</f>
        <v>2.8925619834710745E-2</v>
      </c>
      <c r="BJ371">
        <v>13</v>
      </c>
      <c r="BK371" s="6">
        <f>BJ371/BJ373</f>
        <v>4.5138888888888888E-2</v>
      </c>
      <c r="BL371" s="6">
        <f>13/$BL$3</f>
        <v>3.2258064516129031E-2</v>
      </c>
      <c r="BN371">
        <v>8</v>
      </c>
      <c r="BO371" s="6">
        <f>BN371/BN373</f>
        <v>2.5316455696202531E-2</v>
      </c>
      <c r="BP371" s="6">
        <f>8/$BP$3</f>
        <v>1.8912529550827423E-2</v>
      </c>
      <c r="BR371">
        <v>10</v>
      </c>
      <c r="BS371" s="6">
        <f>BR371/BR373</f>
        <v>4.5454545454545456E-2</v>
      </c>
      <c r="BT371" s="6">
        <f>10/$BT$3</f>
        <v>3.6496350364963501E-2</v>
      </c>
      <c r="BV371">
        <v>12</v>
      </c>
      <c r="BW371" s="6">
        <f>BV371/BV373</f>
        <v>5.3097345132743362E-2</v>
      </c>
      <c r="BX371" s="6">
        <f>12/$BX$3</f>
        <v>3.9344262295081971E-2</v>
      </c>
      <c r="BZ371">
        <v>10</v>
      </c>
      <c r="CA371" s="6">
        <f>BZ371/BZ373</f>
        <v>5.7471264367816091E-2</v>
      </c>
      <c r="CB371" s="6">
        <f>10/$CB$3</f>
        <v>4.4642857142857144E-2</v>
      </c>
      <c r="CD371">
        <v>4</v>
      </c>
      <c r="CE371" s="6">
        <f>CD371/CD373</f>
        <v>2.1505376344086023E-2</v>
      </c>
      <c r="CF371" s="6">
        <f>4/$CF$3</f>
        <v>1.6597510373443983E-2</v>
      </c>
      <c r="CH371">
        <v>5</v>
      </c>
      <c r="CI371" s="6">
        <f>CH371/CH373</f>
        <v>2.100840336134454E-2</v>
      </c>
      <c r="CJ371" s="6">
        <f>5/$CJ$3</f>
        <v>1.5151515151515152E-2</v>
      </c>
    </row>
    <row r="372" spans="1:88" x14ac:dyDescent="0.35">
      <c r="A372" s="1" t="s">
        <v>409</v>
      </c>
      <c r="B372">
        <v>0</v>
      </c>
      <c r="C372" s="6">
        <f>B372/B373</f>
        <v>0</v>
      </c>
      <c r="D372" s="6">
        <f>0/$D$3</f>
        <v>0</v>
      </c>
      <c r="F372">
        <v>0</v>
      </c>
      <c r="G372" s="6">
        <f>F372/F373</f>
        <v>0</v>
      </c>
      <c r="H372" s="6">
        <f>0/$H$3</f>
        <v>0</v>
      </c>
      <c r="J372">
        <v>0</v>
      </c>
      <c r="K372" s="6">
        <f>J372/J373</f>
        <v>0</v>
      </c>
      <c r="L372" s="6">
        <f>0/$L$3</f>
        <v>0</v>
      </c>
      <c r="N372">
        <v>0</v>
      </c>
      <c r="O372" s="6">
        <f>N372/N373</f>
        <v>0</v>
      </c>
      <c r="P372" s="6">
        <f>0/$P$3</f>
        <v>0</v>
      </c>
      <c r="R372">
        <v>0</v>
      </c>
      <c r="S372" s="6">
        <f>R372/R373</f>
        <v>0</v>
      </c>
      <c r="T372" s="6">
        <f>0/$T$3</f>
        <v>0</v>
      </c>
      <c r="V372">
        <v>0</v>
      </c>
      <c r="W372" s="6">
        <f>V372/V373</f>
        <v>0</v>
      </c>
      <c r="X372" s="6">
        <f>0/$X$3</f>
        <v>0</v>
      </c>
      <c r="Z372">
        <v>0</v>
      </c>
      <c r="AA372" s="6">
        <f>Z372/Z373</f>
        <v>0</v>
      </c>
      <c r="AB372" s="6">
        <f>0/$AB$3</f>
        <v>0</v>
      </c>
      <c r="AD372">
        <v>0</v>
      </c>
      <c r="AE372" s="6">
        <f>AD372/AD373</f>
        <v>0</v>
      </c>
      <c r="AF372" s="6">
        <f>0/$AF$3</f>
        <v>0</v>
      </c>
      <c r="AH372">
        <v>0</v>
      </c>
      <c r="AI372" s="6">
        <f>AH372/AH373</f>
        <v>0</v>
      </c>
      <c r="AJ372" s="6">
        <f>0/$AJ$3</f>
        <v>0</v>
      </c>
      <c r="AL372">
        <v>0</v>
      </c>
      <c r="AM372" s="6">
        <f>AL372/AL373</f>
        <v>0</v>
      </c>
      <c r="AN372" s="6">
        <f>0/$AN$3</f>
        <v>0</v>
      </c>
      <c r="AP372">
        <v>0</v>
      </c>
      <c r="AQ372" s="6">
        <f>AP372/AP373</f>
        <v>0</v>
      </c>
      <c r="AR372" s="6">
        <f>0/$AR$3</f>
        <v>0</v>
      </c>
      <c r="AT372">
        <v>0</v>
      </c>
      <c r="AU372" s="6">
        <f>AT372/AT373</f>
        <v>0</v>
      </c>
      <c r="AV372" s="6">
        <f>0/$AV$3</f>
        <v>0</v>
      </c>
      <c r="AX372">
        <v>0</v>
      </c>
      <c r="AY372" s="6">
        <f>AX372/AX373</f>
        <v>0</v>
      </c>
      <c r="AZ372" s="6">
        <f>0/$AZ$3</f>
        <v>0</v>
      </c>
      <c r="BB372">
        <v>0</v>
      </c>
      <c r="BC372" s="6">
        <f>BB372/BB373</f>
        <v>0</v>
      </c>
      <c r="BD372" s="6">
        <f>0/$BD$3</f>
        <v>0</v>
      </c>
      <c r="BF372">
        <v>0</v>
      </c>
      <c r="BG372" s="6">
        <f>BF372/BF373</f>
        <v>0</v>
      </c>
      <c r="BH372" s="6">
        <f>0/$BH$3</f>
        <v>0</v>
      </c>
      <c r="BJ372">
        <v>0</v>
      </c>
      <c r="BK372" s="6">
        <f>BJ372/BJ373</f>
        <v>0</v>
      </c>
      <c r="BL372" s="6">
        <f>0/$BL$3</f>
        <v>0</v>
      </c>
      <c r="BN372">
        <v>0</v>
      </c>
      <c r="BO372" s="6">
        <f>BN372/BN373</f>
        <v>0</v>
      </c>
      <c r="BP372" s="6">
        <f>0/$BP$3</f>
        <v>0</v>
      </c>
      <c r="BR372">
        <v>0</v>
      </c>
      <c r="BS372" s="6">
        <f>BR372/BR373</f>
        <v>0</v>
      </c>
      <c r="BT372" s="6">
        <f>0/$BT$3</f>
        <v>0</v>
      </c>
      <c r="BV372">
        <v>0</v>
      </c>
      <c r="BW372" s="6">
        <f>BV372/BV373</f>
        <v>0</v>
      </c>
      <c r="BX372" s="6">
        <f>0/$BX$3</f>
        <v>0</v>
      </c>
      <c r="BZ372">
        <v>0</v>
      </c>
      <c r="CA372" s="6">
        <f>BZ372/BZ373</f>
        <v>0</v>
      </c>
      <c r="CB372" s="6">
        <f>0/$CB$3</f>
        <v>0</v>
      </c>
      <c r="CD372">
        <v>0</v>
      </c>
      <c r="CE372" s="6">
        <f>CD372/CD373</f>
        <v>0</v>
      </c>
      <c r="CF372" s="6">
        <f>0/$CF$3</f>
        <v>0</v>
      </c>
      <c r="CH372">
        <v>0</v>
      </c>
      <c r="CI372" s="6">
        <f>CH372/CH373</f>
        <v>0</v>
      </c>
      <c r="CJ372" s="6">
        <f>0/$CJ$3</f>
        <v>0</v>
      </c>
    </row>
    <row r="373" spans="1:88" s="10" customFormat="1" x14ac:dyDescent="0.35">
      <c r="A373" s="11" t="s">
        <v>411</v>
      </c>
      <c r="B373" s="10">
        <v>824</v>
      </c>
      <c r="F373" s="10">
        <v>712</v>
      </c>
      <c r="J373" s="10">
        <v>327</v>
      </c>
      <c r="N373" s="10">
        <v>66</v>
      </c>
      <c r="R373" s="10">
        <v>419</v>
      </c>
      <c r="V373" s="10">
        <v>405</v>
      </c>
      <c r="Z373" s="10">
        <v>71</v>
      </c>
      <c r="AD373" s="10">
        <v>145</v>
      </c>
      <c r="AH373" s="10">
        <v>189</v>
      </c>
      <c r="AL373" s="10">
        <v>177</v>
      </c>
      <c r="AP373" s="10">
        <v>142</v>
      </c>
      <c r="AT373" s="10">
        <v>100</v>
      </c>
      <c r="AX373" s="10">
        <v>306</v>
      </c>
      <c r="BB373" s="10">
        <v>333</v>
      </c>
      <c r="BF373" s="10">
        <v>185</v>
      </c>
      <c r="BJ373" s="10">
        <v>288</v>
      </c>
      <c r="BN373" s="10">
        <v>316</v>
      </c>
      <c r="BR373" s="10">
        <v>220</v>
      </c>
      <c r="BV373" s="10">
        <v>226</v>
      </c>
      <c r="BZ373" s="10">
        <v>174</v>
      </c>
      <c r="CD373" s="10">
        <v>186</v>
      </c>
      <c r="CH373" s="10">
        <v>238</v>
      </c>
    </row>
    <row r="374" spans="1:88" hidden="1" x14ac:dyDescent="0.35">
      <c r="A374" s="12" t="s">
        <v>412</v>
      </c>
      <c r="B374">
        <v>0</v>
      </c>
      <c r="F374">
        <v>0</v>
      </c>
      <c r="J374">
        <v>0</v>
      </c>
      <c r="N374">
        <v>0</v>
      </c>
      <c r="R374">
        <v>0</v>
      </c>
      <c r="V374">
        <v>0</v>
      </c>
      <c r="Z374">
        <v>0</v>
      </c>
      <c r="AD374">
        <v>0</v>
      </c>
      <c r="AH374">
        <v>0</v>
      </c>
      <c r="AL374">
        <v>0</v>
      </c>
      <c r="AP374">
        <v>0</v>
      </c>
      <c r="AT374">
        <v>0</v>
      </c>
      <c r="AX374">
        <v>0</v>
      </c>
      <c r="BB374">
        <v>0</v>
      </c>
      <c r="BF374">
        <v>0</v>
      </c>
      <c r="BJ374">
        <v>0</v>
      </c>
      <c r="BN374">
        <v>0</v>
      </c>
      <c r="BR374">
        <v>0</v>
      </c>
      <c r="BV374">
        <v>0</v>
      </c>
      <c r="BZ374">
        <v>0</v>
      </c>
      <c r="CD374">
        <v>0</v>
      </c>
      <c r="CH374">
        <v>0</v>
      </c>
    </row>
    <row r="375" spans="1:88" s="13" customFormat="1" x14ac:dyDescent="0.35">
      <c r="A375" s="12" t="s">
        <v>413</v>
      </c>
      <c r="B375" s="13">
        <v>276</v>
      </c>
      <c r="F375" s="13">
        <v>199</v>
      </c>
      <c r="J375" s="13">
        <v>107</v>
      </c>
      <c r="N375" s="13">
        <v>15</v>
      </c>
      <c r="R375" s="13">
        <v>141</v>
      </c>
      <c r="V375" s="13">
        <v>135</v>
      </c>
      <c r="Z375" s="13">
        <v>42</v>
      </c>
      <c r="AD375" s="13">
        <v>53</v>
      </c>
      <c r="AH375" s="13">
        <v>58</v>
      </c>
      <c r="AL375" s="13">
        <v>55</v>
      </c>
      <c r="AP375" s="13">
        <v>44</v>
      </c>
      <c r="AT375" s="13">
        <v>24</v>
      </c>
      <c r="AX375" s="13">
        <v>124</v>
      </c>
      <c r="BB375" s="13">
        <v>95</v>
      </c>
      <c r="BF375" s="13">
        <v>57</v>
      </c>
      <c r="BJ375" s="13">
        <v>115</v>
      </c>
      <c r="BN375" s="13">
        <v>107</v>
      </c>
      <c r="BR375" s="13">
        <v>54</v>
      </c>
      <c r="BV375" s="13">
        <v>79</v>
      </c>
      <c r="BZ375" s="13">
        <v>50</v>
      </c>
      <c r="CD375" s="13">
        <v>55</v>
      </c>
      <c r="CH375" s="13">
        <v>92</v>
      </c>
    </row>
    <row r="377" spans="1:88" x14ac:dyDescent="0.35">
      <c r="AB377" s="2" t="s">
        <v>3</v>
      </c>
      <c r="AF377" s="2" t="s">
        <v>4</v>
      </c>
      <c r="AJ377" s="2" t="s">
        <v>5</v>
      </c>
      <c r="AN377" s="2" t="s">
        <v>6</v>
      </c>
      <c r="AR377" s="2" t="s">
        <v>7</v>
      </c>
      <c r="AV377" s="2" t="s">
        <v>8</v>
      </c>
      <c r="AZ377" s="2" t="s">
        <v>3</v>
      </c>
      <c r="BD377" s="2" t="s">
        <v>4</v>
      </c>
      <c r="BH377" s="2" t="s">
        <v>5</v>
      </c>
      <c r="BL377" s="2" t="s">
        <v>3</v>
      </c>
      <c r="BP377" s="2" t="s">
        <v>4</v>
      </c>
      <c r="BT377" s="2" t="s">
        <v>5</v>
      </c>
      <c r="BX377" s="2" t="s">
        <v>3</v>
      </c>
      <c r="CB377" s="2" t="s">
        <v>4</v>
      </c>
      <c r="CF377" s="2" t="s">
        <v>5</v>
      </c>
      <c r="CJ377" s="2" t="s">
        <v>6</v>
      </c>
    </row>
    <row r="378" spans="1:88" s="3" customFormat="1" x14ac:dyDescent="0.35">
      <c r="A378" s="3" t="s">
        <v>1040</v>
      </c>
      <c r="D378" s="5" t="s">
        <v>406</v>
      </c>
      <c r="H378" s="5" t="s">
        <v>406</v>
      </c>
      <c r="L378" s="5" t="s">
        <v>406</v>
      </c>
      <c r="P378" s="5" t="s">
        <v>406</v>
      </c>
      <c r="T378" s="5" t="s">
        <v>406</v>
      </c>
      <c r="X378" s="5" t="s">
        <v>406</v>
      </c>
      <c r="AB378" s="5" t="s">
        <v>406</v>
      </c>
      <c r="AF378" s="5" t="s">
        <v>406</v>
      </c>
      <c r="AJ378" s="5" t="s">
        <v>406</v>
      </c>
      <c r="AN378" s="5" t="s">
        <v>406</v>
      </c>
      <c r="AR378" s="5" t="s">
        <v>406</v>
      </c>
      <c r="AV378" s="5" t="s">
        <v>406</v>
      </c>
      <c r="AZ378" s="5" t="s">
        <v>406</v>
      </c>
      <c r="BD378" s="5" t="s">
        <v>406</v>
      </c>
      <c r="BH378" s="5" t="s">
        <v>406</v>
      </c>
      <c r="BL378" s="5" t="s">
        <v>406</v>
      </c>
      <c r="BP378" s="5" t="s">
        <v>406</v>
      </c>
      <c r="BT378" s="5" t="s">
        <v>406</v>
      </c>
      <c r="BX378" s="5" t="s">
        <v>406</v>
      </c>
      <c r="CB378" s="5" t="s">
        <v>406</v>
      </c>
      <c r="CF378" s="5" t="s">
        <v>406</v>
      </c>
      <c r="CJ378" s="5" t="s">
        <v>406</v>
      </c>
    </row>
    <row r="379" spans="1:88" x14ac:dyDescent="0.35">
      <c r="A379" s="1" t="s">
        <v>750</v>
      </c>
      <c r="B379">
        <v>41</v>
      </c>
      <c r="C379" s="6">
        <f>B379/B383</f>
        <v>0.12538226299694188</v>
      </c>
      <c r="D379" s="6">
        <f>41/$D$3</f>
        <v>3.727272727272727E-2</v>
      </c>
      <c r="F379">
        <v>39</v>
      </c>
      <c r="G379" s="6">
        <f>F379/F383</f>
        <v>0.12703583061889251</v>
      </c>
      <c r="H379" s="6">
        <f>39/$H$3</f>
        <v>4.2810098792535674E-2</v>
      </c>
      <c r="J379">
        <v>41</v>
      </c>
      <c r="K379" s="6">
        <f>J379/J383</f>
        <v>0.12538226299694188</v>
      </c>
      <c r="L379" s="6">
        <f>41/$L$3</f>
        <v>9.4470046082949302E-2</v>
      </c>
      <c r="N379">
        <v>0</v>
      </c>
      <c r="O379" s="6">
        <v>0</v>
      </c>
      <c r="P379" s="6">
        <f>0/$P$3</f>
        <v>0</v>
      </c>
      <c r="R379">
        <v>24</v>
      </c>
      <c r="S379" s="6">
        <f>R379/R383</f>
        <v>0.12371134020618557</v>
      </c>
      <c r="T379" s="6">
        <f>24/$T$3</f>
        <v>4.2857142857142858E-2</v>
      </c>
      <c r="V379">
        <v>17</v>
      </c>
      <c r="W379" s="6">
        <f>V379/V383</f>
        <v>0.12781954887218044</v>
      </c>
      <c r="X379" s="6">
        <f>17/$X$3</f>
        <v>3.1481481481481478E-2</v>
      </c>
      <c r="Z379">
        <v>4</v>
      </c>
      <c r="AA379" s="6">
        <f>Z379/Z383</f>
        <v>0.11764705882352941</v>
      </c>
      <c r="AB379" s="6">
        <f>4/$AB$3</f>
        <v>3.5398230088495575E-2</v>
      </c>
      <c r="AD379">
        <v>6</v>
      </c>
      <c r="AE379" s="6">
        <f>AD379/AD383</f>
        <v>0.10344827586206896</v>
      </c>
      <c r="AF379" s="6">
        <f>6/$AF$3</f>
        <v>3.0303030303030304E-2</v>
      </c>
      <c r="AH379">
        <v>6</v>
      </c>
      <c r="AI379" s="6">
        <f>AH379/AH383</f>
        <v>8.4507042253521125E-2</v>
      </c>
      <c r="AJ379" s="6">
        <f>6/$AJ$3</f>
        <v>2.4291497975708502E-2</v>
      </c>
      <c r="AL379">
        <v>12</v>
      </c>
      <c r="AM379" s="6">
        <f>AL379/AL383</f>
        <v>0.15189873417721519</v>
      </c>
      <c r="AN379" s="6">
        <f>12/$AN$3</f>
        <v>5.1724137931034482E-2</v>
      </c>
      <c r="AP379">
        <v>10</v>
      </c>
      <c r="AQ379" s="6">
        <f>AP379/AP383</f>
        <v>0.19230769230769232</v>
      </c>
      <c r="AR379" s="6">
        <f>10/$AR$3</f>
        <v>5.3763440860215055E-2</v>
      </c>
      <c r="AT379">
        <v>3</v>
      </c>
      <c r="AU379" s="6">
        <f>AT379/AT383</f>
        <v>9.0909090909090912E-2</v>
      </c>
      <c r="AV379" s="6">
        <f>3/$AV$3</f>
        <v>2.4193548387096774E-2</v>
      </c>
      <c r="AX379">
        <v>23</v>
      </c>
      <c r="AY379" s="6">
        <f>AX379/AX383</f>
        <v>0.17164179104477612</v>
      </c>
      <c r="AZ379" s="6">
        <f>23/$AZ$3</f>
        <v>5.3488372093023255E-2</v>
      </c>
      <c r="BB379">
        <v>14</v>
      </c>
      <c r="BC379" s="6">
        <f>BB379/BB383</f>
        <v>0.1076923076923077</v>
      </c>
      <c r="BD379" s="6">
        <f>14/$BD$3</f>
        <v>3.2710280373831772E-2</v>
      </c>
      <c r="BF379">
        <v>4</v>
      </c>
      <c r="BG379" s="6">
        <f>BF379/BF383</f>
        <v>6.3492063492063489E-2</v>
      </c>
      <c r="BH379" s="6">
        <f>4/$BH$3</f>
        <v>1.6528925619834711E-2</v>
      </c>
      <c r="BJ379">
        <v>14</v>
      </c>
      <c r="BK379" s="6">
        <f>BJ379/BJ383</f>
        <v>0.12727272727272726</v>
      </c>
      <c r="BL379" s="6">
        <f>14/$BL$3</f>
        <v>3.4739454094292806E-2</v>
      </c>
      <c r="BN379">
        <v>19</v>
      </c>
      <c r="BO379" s="6">
        <f>BN379/BN383</f>
        <v>0.15079365079365079</v>
      </c>
      <c r="BP379" s="6">
        <f>19/$BP$3</f>
        <v>4.4917257683215132E-2</v>
      </c>
      <c r="BR379">
        <v>8</v>
      </c>
      <c r="BS379" s="6">
        <f>BR379/BR383</f>
        <v>8.7912087912087919E-2</v>
      </c>
      <c r="BT379" s="6">
        <f>8/$BT$3</f>
        <v>2.9197080291970802E-2</v>
      </c>
      <c r="BV379">
        <v>16</v>
      </c>
      <c r="BW379" s="6">
        <f>BV379/BV383</f>
        <v>0.17777777777777778</v>
      </c>
      <c r="BX379" s="6">
        <f>16/$BX$3</f>
        <v>5.2459016393442623E-2</v>
      </c>
      <c r="BZ379">
        <v>10</v>
      </c>
      <c r="CA379" s="6">
        <f>BZ379/BZ383</f>
        <v>0.13157894736842105</v>
      </c>
      <c r="CB379" s="6">
        <f>10/$CB$3</f>
        <v>4.4642857142857144E-2</v>
      </c>
      <c r="CD379">
        <v>6</v>
      </c>
      <c r="CE379" s="6">
        <f>CD379/CD383</f>
        <v>8.6956521739130432E-2</v>
      </c>
      <c r="CF379" s="6">
        <f>6/$CF$3</f>
        <v>2.4896265560165973E-2</v>
      </c>
      <c r="CH379">
        <v>9</v>
      </c>
      <c r="CI379" s="6">
        <f>CH379/CH383</f>
        <v>9.7826086956521743E-2</v>
      </c>
      <c r="CJ379" s="6">
        <f>9/$CJ$3</f>
        <v>2.7272727272727271E-2</v>
      </c>
    </row>
    <row r="380" spans="1:88" x14ac:dyDescent="0.35">
      <c r="A380" s="1" t="s">
        <v>751</v>
      </c>
      <c r="B380">
        <v>24</v>
      </c>
      <c r="C380" s="6">
        <f>B380/B383</f>
        <v>7.3394495412844041E-2</v>
      </c>
      <c r="D380" s="6">
        <f>24/$D$3</f>
        <v>2.181818181818182E-2</v>
      </c>
      <c r="F380">
        <v>20</v>
      </c>
      <c r="G380" s="6">
        <f>F380/F383</f>
        <v>6.5146579804560262E-2</v>
      </c>
      <c r="H380" s="6">
        <f>20/$H$3</f>
        <v>2.1953896816684963E-2</v>
      </c>
      <c r="J380">
        <v>24</v>
      </c>
      <c r="K380" s="6">
        <f>J380/J383</f>
        <v>7.3394495412844041E-2</v>
      </c>
      <c r="L380" s="6">
        <f>24/$L$3</f>
        <v>5.5299539170506916E-2</v>
      </c>
      <c r="N380">
        <v>0</v>
      </c>
      <c r="O380" s="6">
        <v>0</v>
      </c>
      <c r="P380" s="6">
        <f>0/$P$3</f>
        <v>0</v>
      </c>
      <c r="R380">
        <v>14</v>
      </c>
      <c r="S380" s="6">
        <f>R380/R383</f>
        <v>7.2164948453608241E-2</v>
      </c>
      <c r="T380" s="6">
        <f>14/$T$3</f>
        <v>2.5000000000000001E-2</v>
      </c>
      <c r="V380">
        <v>10</v>
      </c>
      <c r="W380" s="6">
        <f>V380/V383</f>
        <v>7.5187969924812026E-2</v>
      </c>
      <c r="X380" s="6">
        <f>10/$X$3</f>
        <v>1.8518518518518517E-2</v>
      </c>
      <c r="Z380">
        <v>4</v>
      </c>
      <c r="AA380" s="6">
        <f>Z380/Z383</f>
        <v>0.11764705882352941</v>
      </c>
      <c r="AB380" s="6">
        <f>4/$AB$3</f>
        <v>3.5398230088495575E-2</v>
      </c>
      <c r="AD380">
        <v>4</v>
      </c>
      <c r="AE380" s="6">
        <f>AD380/AD383</f>
        <v>6.8965517241379309E-2</v>
      </c>
      <c r="AF380" s="6">
        <f>4/$AF$3</f>
        <v>2.0202020202020204E-2</v>
      </c>
      <c r="AH380">
        <v>6</v>
      </c>
      <c r="AI380" s="6">
        <f>AH380/AH383</f>
        <v>8.4507042253521125E-2</v>
      </c>
      <c r="AJ380" s="6">
        <f>6/$AJ$3</f>
        <v>2.4291497975708502E-2</v>
      </c>
      <c r="AL380">
        <v>2</v>
      </c>
      <c r="AM380" s="6">
        <f>AL380/AL383</f>
        <v>2.5316455696202531E-2</v>
      </c>
      <c r="AN380" s="6">
        <f>2/$AN$3</f>
        <v>8.6206896551724137E-3</v>
      </c>
      <c r="AP380">
        <v>5</v>
      </c>
      <c r="AQ380" s="6">
        <f>AP380/AP383</f>
        <v>9.6153846153846159E-2</v>
      </c>
      <c r="AR380" s="6">
        <f>5/$AR$3</f>
        <v>2.6881720430107527E-2</v>
      </c>
      <c r="AT380">
        <v>3</v>
      </c>
      <c r="AU380" s="6">
        <f>AT380/AT383</f>
        <v>9.0909090909090912E-2</v>
      </c>
      <c r="AV380" s="6">
        <f>3/$AV$3</f>
        <v>2.4193548387096774E-2</v>
      </c>
      <c r="AX380">
        <v>8</v>
      </c>
      <c r="AY380" s="6">
        <f>AX380/AX383</f>
        <v>5.9701492537313432E-2</v>
      </c>
      <c r="AZ380" s="6">
        <f>8/$AZ$3</f>
        <v>1.8604651162790697E-2</v>
      </c>
      <c r="BB380">
        <v>10</v>
      </c>
      <c r="BC380" s="6">
        <f>BB380/BB383</f>
        <v>7.6923076923076927E-2</v>
      </c>
      <c r="BD380" s="6">
        <f>10/$BD$3</f>
        <v>2.336448598130841E-2</v>
      </c>
      <c r="BF380">
        <v>6</v>
      </c>
      <c r="BG380" s="6">
        <f>BF380/BF383</f>
        <v>9.5238095238095233E-2</v>
      </c>
      <c r="BH380" s="6">
        <f>6/$BH$3</f>
        <v>2.4793388429752067E-2</v>
      </c>
      <c r="BJ380">
        <v>7</v>
      </c>
      <c r="BK380" s="6">
        <f>BJ380/BJ383</f>
        <v>6.363636363636363E-2</v>
      </c>
      <c r="BL380" s="6">
        <f>7/$BL$3</f>
        <v>1.7369727047146403E-2</v>
      </c>
      <c r="BN380">
        <v>6</v>
      </c>
      <c r="BO380" s="6">
        <f>BN380/BN383</f>
        <v>4.7619047619047616E-2</v>
      </c>
      <c r="BP380" s="6">
        <f>6/$BP$3</f>
        <v>1.4184397163120567E-2</v>
      </c>
      <c r="BR380">
        <v>11</v>
      </c>
      <c r="BS380" s="6">
        <f>BR380/BR383</f>
        <v>0.12087912087912088</v>
      </c>
      <c r="BT380" s="6">
        <f>11/$BT$3</f>
        <v>4.0145985401459854E-2</v>
      </c>
      <c r="BV380">
        <v>5</v>
      </c>
      <c r="BW380" s="6">
        <f>BV380/BV383</f>
        <v>5.5555555555555552E-2</v>
      </c>
      <c r="BX380" s="6">
        <f>5/$BX$3</f>
        <v>1.6393442622950821E-2</v>
      </c>
      <c r="BZ380">
        <v>6</v>
      </c>
      <c r="CA380" s="6">
        <f>BZ380/BZ383</f>
        <v>7.8947368421052627E-2</v>
      </c>
      <c r="CB380" s="6">
        <f>6/$CB$3</f>
        <v>2.6785714285714284E-2</v>
      </c>
      <c r="CD380">
        <v>4</v>
      </c>
      <c r="CE380" s="6">
        <f>CD380/CD383</f>
        <v>5.7971014492753624E-2</v>
      </c>
      <c r="CF380" s="6">
        <f>4/$CF$3</f>
        <v>1.6597510373443983E-2</v>
      </c>
      <c r="CH380">
        <v>9</v>
      </c>
      <c r="CI380" s="6">
        <f>CH380/CH383</f>
        <v>9.7826086956521743E-2</v>
      </c>
      <c r="CJ380" s="6">
        <f>9/$CJ$3</f>
        <v>2.7272727272727271E-2</v>
      </c>
    </row>
    <row r="381" spans="1:88" x14ac:dyDescent="0.35">
      <c r="A381" s="1" t="s">
        <v>752</v>
      </c>
      <c r="B381">
        <v>262</v>
      </c>
      <c r="C381" s="6">
        <f>B381/B383</f>
        <v>0.80122324159021407</v>
      </c>
      <c r="D381" s="6">
        <f>262/$D$3</f>
        <v>0.23818181818181819</v>
      </c>
      <c r="F381">
        <v>248</v>
      </c>
      <c r="G381" s="6">
        <f>F381/F383</f>
        <v>0.80781758957654726</v>
      </c>
      <c r="H381" s="6">
        <f>248/$H$3</f>
        <v>0.2722283205268935</v>
      </c>
      <c r="J381">
        <v>262</v>
      </c>
      <c r="K381" s="6">
        <f>J381/J383</f>
        <v>0.80122324159021407</v>
      </c>
      <c r="L381" s="6">
        <f>262/$L$3</f>
        <v>0.60368663594470051</v>
      </c>
      <c r="N381">
        <v>0</v>
      </c>
      <c r="O381" s="6">
        <v>0</v>
      </c>
      <c r="P381" s="8">
        <f>0/$P$3</f>
        <v>0</v>
      </c>
      <c r="R381">
        <v>156</v>
      </c>
      <c r="S381" s="6">
        <f>R381/R383</f>
        <v>0.80412371134020622</v>
      </c>
      <c r="T381" s="6">
        <f>156/$T$3</f>
        <v>0.27857142857142858</v>
      </c>
      <c r="V381">
        <v>106</v>
      </c>
      <c r="W381" s="6">
        <f>V381/V383</f>
        <v>0.79699248120300747</v>
      </c>
      <c r="X381" s="6">
        <f>106/$X$3</f>
        <v>0.1962962962962963</v>
      </c>
      <c r="Z381">
        <v>26</v>
      </c>
      <c r="AA381" s="6">
        <f>Z381/Z383</f>
        <v>0.76470588235294112</v>
      </c>
      <c r="AB381" s="6">
        <f>26/$AB$3</f>
        <v>0.23008849557522124</v>
      </c>
      <c r="AD381">
        <v>48</v>
      </c>
      <c r="AE381" s="6">
        <f>AD381/AD383</f>
        <v>0.82758620689655171</v>
      </c>
      <c r="AF381" s="6">
        <f>48/$AF$3</f>
        <v>0.24242424242424243</v>
      </c>
      <c r="AH381">
        <v>59</v>
      </c>
      <c r="AI381" s="6">
        <f>AH381/AH383</f>
        <v>0.83098591549295775</v>
      </c>
      <c r="AJ381" s="6">
        <f>59/$AJ$3</f>
        <v>0.23886639676113361</v>
      </c>
      <c r="AL381">
        <v>65</v>
      </c>
      <c r="AM381" s="6">
        <f>AL381/AL383</f>
        <v>0.82278481012658233</v>
      </c>
      <c r="AN381" s="6">
        <f>65/$AN$3</f>
        <v>0.28017241379310343</v>
      </c>
      <c r="AP381">
        <v>37</v>
      </c>
      <c r="AQ381" s="6">
        <f>AP381/AP383</f>
        <v>0.71153846153846156</v>
      </c>
      <c r="AR381" s="6">
        <f>37/$AR$3</f>
        <v>0.19892473118279569</v>
      </c>
      <c r="AT381">
        <v>27</v>
      </c>
      <c r="AU381" s="6">
        <f>AT381/AT383</f>
        <v>0.81818181818181823</v>
      </c>
      <c r="AV381" s="6">
        <f>27/$AV$3</f>
        <v>0.21774193548387097</v>
      </c>
      <c r="AX381">
        <v>103</v>
      </c>
      <c r="AY381" s="6">
        <f>AX381/AX383</f>
        <v>0.76865671641791045</v>
      </c>
      <c r="AZ381" s="6">
        <f>103/$AZ$3</f>
        <v>0.23953488372093024</v>
      </c>
      <c r="BB381">
        <v>106</v>
      </c>
      <c r="BC381" s="6">
        <f>BB381/BB383</f>
        <v>0.81538461538461537</v>
      </c>
      <c r="BD381" s="6">
        <f>106/$BD$3</f>
        <v>0.24766355140186916</v>
      </c>
      <c r="BF381">
        <v>53</v>
      </c>
      <c r="BG381" s="6">
        <f>BF381/BF383</f>
        <v>0.84126984126984128</v>
      </c>
      <c r="BH381" s="6">
        <f>53/$BH$3</f>
        <v>0.21900826446280991</v>
      </c>
      <c r="BJ381">
        <v>89</v>
      </c>
      <c r="BK381" s="6">
        <f>BJ381/BJ383</f>
        <v>0.80909090909090908</v>
      </c>
      <c r="BL381" s="6">
        <f>89/$BL$3</f>
        <v>0.22084367245657568</v>
      </c>
      <c r="BN381">
        <v>101</v>
      </c>
      <c r="BO381" s="6">
        <f>BN381/BN383</f>
        <v>0.80158730158730163</v>
      </c>
      <c r="BP381" s="6">
        <f>101/$BP$3</f>
        <v>0.23877068557919623</v>
      </c>
      <c r="BR381">
        <v>72</v>
      </c>
      <c r="BS381" s="6">
        <f>BR381/BR383</f>
        <v>0.79120879120879117</v>
      </c>
      <c r="BT381" s="6">
        <f>72/$BT$3</f>
        <v>0.26277372262773724</v>
      </c>
      <c r="BV381">
        <v>69</v>
      </c>
      <c r="BW381" s="6">
        <f>BV381/BV383</f>
        <v>0.76666666666666672</v>
      </c>
      <c r="BX381" s="6">
        <f>69/$BX$3</f>
        <v>0.2262295081967213</v>
      </c>
      <c r="BZ381">
        <v>60</v>
      </c>
      <c r="CA381" s="6">
        <f>BZ381/BZ383</f>
        <v>0.78947368421052633</v>
      </c>
      <c r="CB381" s="6">
        <f>60/$CB$3</f>
        <v>0.26785714285714285</v>
      </c>
      <c r="CD381">
        <v>59</v>
      </c>
      <c r="CE381" s="6">
        <f>CD381/CD383</f>
        <v>0.85507246376811596</v>
      </c>
      <c r="CF381" s="6">
        <f>59/$CF$3</f>
        <v>0.24481327800829875</v>
      </c>
      <c r="CH381">
        <v>74</v>
      </c>
      <c r="CI381" s="6">
        <f>CH381/CH383</f>
        <v>0.80434782608695654</v>
      </c>
      <c r="CJ381" s="6">
        <f>74/$CJ$3</f>
        <v>0.22424242424242424</v>
      </c>
    </row>
    <row r="382" spans="1:88" x14ac:dyDescent="0.35">
      <c r="A382" s="1" t="s">
        <v>409</v>
      </c>
      <c r="B382">
        <v>0</v>
      </c>
      <c r="C382" s="6">
        <f>B382/B383</f>
        <v>0</v>
      </c>
      <c r="D382" s="6">
        <f>0/$D$3</f>
        <v>0</v>
      </c>
      <c r="F382">
        <v>0</v>
      </c>
      <c r="G382" s="6">
        <f>F382/F383</f>
        <v>0</v>
      </c>
      <c r="H382" s="6">
        <f>0/$H$3</f>
        <v>0</v>
      </c>
      <c r="J382">
        <v>0</v>
      </c>
      <c r="K382" s="6">
        <f>J382/J383</f>
        <v>0</v>
      </c>
      <c r="L382" s="6">
        <f>0/$L$3</f>
        <v>0</v>
      </c>
      <c r="N382">
        <v>0</v>
      </c>
      <c r="O382" s="6">
        <v>0</v>
      </c>
      <c r="P382" s="6">
        <f>0/$P$3</f>
        <v>0</v>
      </c>
      <c r="R382">
        <v>0</v>
      </c>
      <c r="S382" s="6">
        <f>R382/R383</f>
        <v>0</v>
      </c>
      <c r="T382" s="6">
        <f>0/$T$3</f>
        <v>0</v>
      </c>
      <c r="V382">
        <v>0</v>
      </c>
      <c r="W382" s="6">
        <f>V382/V383</f>
        <v>0</v>
      </c>
      <c r="X382" s="6">
        <f>0/$X$3</f>
        <v>0</v>
      </c>
      <c r="Z382">
        <v>0</v>
      </c>
      <c r="AA382" s="6">
        <f>Z382/Z383</f>
        <v>0</v>
      </c>
      <c r="AB382" s="6">
        <f>0/$AB$3</f>
        <v>0</v>
      </c>
      <c r="AD382">
        <v>0</v>
      </c>
      <c r="AE382" s="6">
        <f>AD382/AD383</f>
        <v>0</v>
      </c>
      <c r="AF382" s="6">
        <f>0/$AF$3</f>
        <v>0</v>
      </c>
      <c r="AH382">
        <v>0</v>
      </c>
      <c r="AI382" s="6">
        <f>AH382/AH383</f>
        <v>0</v>
      </c>
      <c r="AJ382" s="6">
        <f>0/$AJ$3</f>
        <v>0</v>
      </c>
      <c r="AL382">
        <v>0</v>
      </c>
      <c r="AM382" s="6">
        <f>AL382/AL383</f>
        <v>0</v>
      </c>
      <c r="AN382" s="6">
        <f>0/$AN$3</f>
        <v>0</v>
      </c>
      <c r="AP382">
        <v>0</v>
      </c>
      <c r="AQ382" s="6">
        <f>AP382/AP383</f>
        <v>0</v>
      </c>
      <c r="AR382" s="6">
        <f>0/$AR$3</f>
        <v>0</v>
      </c>
      <c r="AT382">
        <v>0</v>
      </c>
      <c r="AU382" s="6">
        <f>AT382/AT383</f>
        <v>0</v>
      </c>
      <c r="AV382" s="6">
        <f>0/$AV$3</f>
        <v>0</v>
      </c>
      <c r="AX382">
        <v>0</v>
      </c>
      <c r="AY382" s="6">
        <f>AX382/AX383</f>
        <v>0</v>
      </c>
      <c r="AZ382" s="6">
        <f>0/$AZ$3</f>
        <v>0</v>
      </c>
      <c r="BB382">
        <v>0</v>
      </c>
      <c r="BC382" s="6">
        <f>BB382/BB383</f>
        <v>0</v>
      </c>
      <c r="BD382" s="6">
        <f>0/$BD$3</f>
        <v>0</v>
      </c>
      <c r="BF382">
        <v>0</v>
      </c>
      <c r="BG382" s="6">
        <f>BF382/BF383</f>
        <v>0</v>
      </c>
      <c r="BH382" s="6">
        <f>0/$BH$3</f>
        <v>0</v>
      </c>
      <c r="BJ382">
        <v>0</v>
      </c>
      <c r="BK382" s="6">
        <f>BJ382/BJ383</f>
        <v>0</v>
      </c>
      <c r="BL382" s="6">
        <f>0/$BL$3</f>
        <v>0</v>
      </c>
      <c r="BN382">
        <v>0</v>
      </c>
      <c r="BO382" s="6">
        <f>BN382/BN383</f>
        <v>0</v>
      </c>
      <c r="BP382" s="6">
        <f>0/$BP$3</f>
        <v>0</v>
      </c>
      <c r="BR382">
        <v>0</v>
      </c>
      <c r="BS382" s="6">
        <f>BR382/BR383</f>
        <v>0</v>
      </c>
      <c r="BT382" s="6">
        <f>0/$BT$3</f>
        <v>0</v>
      </c>
      <c r="BV382">
        <v>0</v>
      </c>
      <c r="BW382" s="6">
        <f>BV382/BV383</f>
        <v>0</v>
      </c>
      <c r="BX382" s="6">
        <f>0/$BX$3</f>
        <v>0</v>
      </c>
      <c r="BZ382">
        <v>0</v>
      </c>
      <c r="CA382" s="6">
        <f>BZ382/BZ383</f>
        <v>0</v>
      </c>
      <c r="CB382" s="6">
        <f>0/$CB$3</f>
        <v>0</v>
      </c>
      <c r="CD382">
        <v>0</v>
      </c>
      <c r="CE382" s="6">
        <f>CD382/CD383</f>
        <v>0</v>
      </c>
      <c r="CF382" s="6">
        <f>0/$CF$3</f>
        <v>0</v>
      </c>
      <c r="CH382">
        <v>0</v>
      </c>
      <c r="CI382" s="6">
        <f>CH382/CH383</f>
        <v>0</v>
      </c>
      <c r="CJ382" s="6">
        <f>0/$CJ$3</f>
        <v>0</v>
      </c>
    </row>
    <row r="383" spans="1:88" s="10" customFormat="1" x14ac:dyDescent="0.35">
      <c r="A383" s="11" t="s">
        <v>411</v>
      </c>
      <c r="B383" s="10">
        <v>327</v>
      </c>
      <c r="F383" s="10">
        <v>307</v>
      </c>
      <c r="J383" s="10">
        <v>327</v>
      </c>
      <c r="N383" s="10">
        <v>0</v>
      </c>
      <c r="R383" s="10">
        <v>194</v>
      </c>
      <c r="V383" s="10">
        <v>133</v>
      </c>
      <c r="Z383" s="10">
        <v>34</v>
      </c>
      <c r="AD383" s="10">
        <v>58</v>
      </c>
      <c r="AH383" s="10">
        <v>71</v>
      </c>
      <c r="AL383" s="10">
        <v>79</v>
      </c>
      <c r="AP383" s="10">
        <v>52</v>
      </c>
      <c r="AT383" s="10">
        <v>33</v>
      </c>
      <c r="AX383" s="10">
        <v>134</v>
      </c>
      <c r="BB383" s="10">
        <v>130</v>
      </c>
      <c r="BF383" s="10">
        <v>63</v>
      </c>
      <c r="BJ383" s="10">
        <v>110</v>
      </c>
      <c r="BN383" s="10">
        <v>126</v>
      </c>
      <c r="BR383" s="10">
        <v>91</v>
      </c>
      <c r="BV383" s="10">
        <v>90</v>
      </c>
      <c r="BZ383" s="10">
        <v>76</v>
      </c>
      <c r="CD383" s="10">
        <v>69</v>
      </c>
      <c r="CH383" s="10">
        <v>92</v>
      </c>
    </row>
    <row r="384" spans="1:88" hidden="1" x14ac:dyDescent="0.35">
      <c r="A384" s="12" t="s">
        <v>412</v>
      </c>
      <c r="B384">
        <v>0</v>
      </c>
      <c r="F384">
        <v>0</v>
      </c>
      <c r="J384">
        <v>0</v>
      </c>
      <c r="N384">
        <v>0</v>
      </c>
      <c r="R384">
        <v>0</v>
      </c>
      <c r="V384">
        <v>0</v>
      </c>
      <c r="Z384">
        <v>0</v>
      </c>
      <c r="AD384">
        <v>0</v>
      </c>
      <c r="AH384">
        <v>0</v>
      </c>
      <c r="AL384">
        <v>0</v>
      </c>
      <c r="AP384">
        <v>0</v>
      </c>
      <c r="AT384">
        <v>0</v>
      </c>
      <c r="AX384">
        <v>0</v>
      </c>
      <c r="BB384">
        <v>0</v>
      </c>
      <c r="BF384">
        <v>0</v>
      </c>
      <c r="BJ384">
        <v>0</v>
      </c>
      <c r="BN384">
        <v>0</v>
      </c>
      <c r="BR384">
        <v>0</v>
      </c>
      <c r="BV384">
        <v>0</v>
      </c>
      <c r="BZ384">
        <v>0</v>
      </c>
      <c r="CD384">
        <v>0</v>
      </c>
      <c r="CH384">
        <v>0</v>
      </c>
    </row>
    <row r="385" spans="1:88" s="13" customFormat="1" x14ac:dyDescent="0.35">
      <c r="A385" s="12" t="s">
        <v>413</v>
      </c>
      <c r="B385" s="13">
        <v>773</v>
      </c>
      <c r="F385" s="13">
        <v>604</v>
      </c>
      <c r="J385" s="13">
        <v>107</v>
      </c>
      <c r="N385" s="13">
        <v>81</v>
      </c>
      <c r="R385" s="13">
        <v>366</v>
      </c>
      <c r="V385" s="13">
        <v>407</v>
      </c>
      <c r="Z385" s="13">
        <v>79</v>
      </c>
      <c r="AD385" s="13">
        <v>140</v>
      </c>
      <c r="AH385" s="13">
        <v>176</v>
      </c>
      <c r="AL385" s="13">
        <v>153</v>
      </c>
      <c r="AP385" s="13">
        <v>134</v>
      </c>
      <c r="AT385" s="13">
        <v>91</v>
      </c>
      <c r="AX385" s="13">
        <v>296</v>
      </c>
      <c r="BB385" s="13">
        <v>298</v>
      </c>
      <c r="BF385" s="13">
        <v>179</v>
      </c>
      <c r="BJ385" s="13">
        <v>293</v>
      </c>
      <c r="BN385" s="13">
        <v>297</v>
      </c>
      <c r="BR385" s="13">
        <v>183</v>
      </c>
      <c r="BV385" s="13">
        <v>215</v>
      </c>
      <c r="BZ385" s="13">
        <v>148</v>
      </c>
      <c r="CD385" s="13">
        <v>172</v>
      </c>
      <c r="CH385" s="13">
        <v>238</v>
      </c>
    </row>
    <row r="387" spans="1:88" x14ac:dyDescent="0.35">
      <c r="AB387" s="2" t="s">
        <v>3</v>
      </c>
      <c r="AF387" s="2" t="s">
        <v>4</v>
      </c>
      <c r="AJ387" s="2" t="s">
        <v>5</v>
      </c>
      <c r="AN387" s="2" t="s">
        <v>6</v>
      </c>
      <c r="AR387" s="2" t="s">
        <v>7</v>
      </c>
      <c r="AV387" s="2" t="s">
        <v>8</v>
      </c>
      <c r="AZ387" s="2" t="s">
        <v>3</v>
      </c>
      <c r="BD387" s="2" t="s">
        <v>4</v>
      </c>
      <c r="BH387" s="2" t="s">
        <v>5</v>
      </c>
      <c r="BL387" s="2" t="s">
        <v>3</v>
      </c>
      <c r="BP387" s="2" t="s">
        <v>4</v>
      </c>
      <c r="BT387" s="2" t="s">
        <v>5</v>
      </c>
      <c r="BX387" s="2" t="s">
        <v>3</v>
      </c>
      <c r="CB387" s="2" t="s">
        <v>4</v>
      </c>
      <c r="CF387" s="2" t="s">
        <v>5</v>
      </c>
      <c r="CJ387" s="2" t="s">
        <v>6</v>
      </c>
    </row>
    <row r="388" spans="1:88" s="3" customFormat="1" x14ac:dyDescent="0.35">
      <c r="A388" s="3" t="s">
        <v>1041</v>
      </c>
      <c r="D388" s="5" t="s">
        <v>406</v>
      </c>
      <c r="H388" s="5" t="s">
        <v>406</v>
      </c>
      <c r="L388" s="5" t="s">
        <v>406</v>
      </c>
      <c r="P388" s="5" t="s">
        <v>406</v>
      </c>
      <c r="T388" s="5" t="s">
        <v>406</v>
      </c>
      <c r="X388" s="5" t="s">
        <v>406</v>
      </c>
      <c r="AB388" s="5" t="s">
        <v>406</v>
      </c>
      <c r="AF388" s="5" t="s">
        <v>406</v>
      </c>
      <c r="AJ388" s="5" t="s">
        <v>406</v>
      </c>
      <c r="AN388" s="5" t="s">
        <v>406</v>
      </c>
      <c r="AR388" s="5" t="s">
        <v>406</v>
      </c>
      <c r="AV388" s="5" t="s">
        <v>406</v>
      </c>
      <c r="AZ388" s="5" t="s">
        <v>406</v>
      </c>
      <c r="BD388" s="5" t="s">
        <v>406</v>
      </c>
      <c r="BH388" s="5" t="s">
        <v>406</v>
      </c>
      <c r="BL388" s="5" t="s">
        <v>406</v>
      </c>
      <c r="BP388" s="5" t="s">
        <v>406</v>
      </c>
      <c r="BT388" s="5" t="s">
        <v>406</v>
      </c>
      <c r="BX388" s="5" t="s">
        <v>406</v>
      </c>
      <c r="CB388" s="5" t="s">
        <v>406</v>
      </c>
      <c r="CF388" s="5" t="s">
        <v>406</v>
      </c>
      <c r="CJ388" s="5" t="s">
        <v>406</v>
      </c>
    </row>
    <row r="389" spans="1:88" x14ac:dyDescent="0.35">
      <c r="A389" s="1" t="s">
        <v>626</v>
      </c>
      <c r="B389">
        <v>215</v>
      </c>
      <c r="C389" s="6">
        <f>B389/B392</f>
        <v>0.19545454545454546</v>
      </c>
      <c r="D389" s="6">
        <f>215/$D$3</f>
        <v>0.19545454545454546</v>
      </c>
      <c r="F389">
        <v>198</v>
      </c>
      <c r="G389" s="6">
        <f>F389/F392</f>
        <v>0.21734357848518113</v>
      </c>
      <c r="H389" s="6">
        <f>198/$H$3</f>
        <v>0.21734357848518113</v>
      </c>
      <c r="J389">
        <v>136</v>
      </c>
      <c r="K389" s="6">
        <f>J389/J392</f>
        <v>0.31336405529953915</v>
      </c>
      <c r="L389" s="9">
        <f>136/$L$3</f>
        <v>0.31336405529953915</v>
      </c>
      <c r="N389">
        <v>17</v>
      </c>
      <c r="O389" s="6">
        <f>N389/N392</f>
        <v>0.20987654320987653</v>
      </c>
      <c r="P389" s="6">
        <f>17/$P$3</f>
        <v>0.20987654320987653</v>
      </c>
      <c r="R389">
        <v>136</v>
      </c>
      <c r="S389" s="6">
        <f>R389/R392</f>
        <v>0.24285714285714285</v>
      </c>
      <c r="T389" s="6">
        <f>136/$T$3</f>
        <v>0.24285714285714285</v>
      </c>
      <c r="V389">
        <v>79</v>
      </c>
      <c r="W389" s="6">
        <f>V389/V392</f>
        <v>0.14629629629629629</v>
      </c>
      <c r="X389" s="6">
        <f>79/$X$3</f>
        <v>0.14629629629629629</v>
      </c>
      <c r="Z389">
        <v>25</v>
      </c>
      <c r="AA389" s="6">
        <f>Z389/Z392</f>
        <v>0.22123893805309736</v>
      </c>
      <c r="AB389" s="6">
        <f>25/$AB$3</f>
        <v>0.22123893805309736</v>
      </c>
      <c r="AD389">
        <v>37</v>
      </c>
      <c r="AE389" s="6">
        <f>AD389/AD392</f>
        <v>0.18686868686868688</v>
      </c>
      <c r="AF389" s="6">
        <f>37/$AF$3</f>
        <v>0.18686868686868688</v>
      </c>
      <c r="AH389">
        <v>59</v>
      </c>
      <c r="AI389" s="6">
        <f>AH389/AH392</f>
        <v>0.23886639676113361</v>
      </c>
      <c r="AJ389" s="6">
        <f>59/$AJ$3</f>
        <v>0.23886639676113361</v>
      </c>
      <c r="AK389" s="7"/>
      <c r="AL389">
        <v>52</v>
      </c>
      <c r="AM389" s="6">
        <f>AL389/AL392</f>
        <v>0.22413793103448276</v>
      </c>
      <c r="AN389" s="6">
        <f>52/$AN$3</f>
        <v>0.22413793103448276</v>
      </c>
      <c r="AO389" s="7"/>
      <c r="AP389">
        <v>28</v>
      </c>
      <c r="AQ389" s="6">
        <f>AP389/AP392</f>
        <v>0.15053763440860216</v>
      </c>
      <c r="AR389" s="6">
        <f>28/$AR$3</f>
        <v>0.15053763440860216</v>
      </c>
      <c r="AT389">
        <v>14</v>
      </c>
      <c r="AU389" s="6">
        <f>AT389/AT392</f>
        <v>0.11290322580645161</v>
      </c>
      <c r="AV389" s="8">
        <f>14/$AV$3</f>
        <v>0.11290322580645161</v>
      </c>
      <c r="AX389">
        <v>74</v>
      </c>
      <c r="AY389" s="6">
        <f>AX389/AX392</f>
        <v>0.17209302325581396</v>
      </c>
      <c r="AZ389" s="6">
        <f>74/$AZ$3</f>
        <v>0.17209302325581396</v>
      </c>
      <c r="BB389">
        <v>99</v>
      </c>
      <c r="BC389" s="6">
        <f>BB389/BB392</f>
        <v>0.23130841121495327</v>
      </c>
      <c r="BD389" s="6">
        <f>99/$BD$3</f>
        <v>0.23130841121495327</v>
      </c>
      <c r="BF389">
        <v>42</v>
      </c>
      <c r="BG389" s="6">
        <f>BF389/BF392</f>
        <v>0.17355371900826447</v>
      </c>
      <c r="BH389" s="6">
        <f>42/$BH$3</f>
        <v>0.17355371900826447</v>
      </c>
      <c r="BJ389">
        <v>85</v>
      </c>
      <c r="BK389" s="6">
        <f>BJ389/BJ392</f>
        <v>0.21091811414392059</v>
      </c>
      <c r="BL389" s="6">
        <f>85/$BL$3</f>
        <v>0.21091811414392059</v>
      </c>
      <c r="BN389">
        <v>76</v>
      </c>
      <c r="BO389" s="6">
        <f>BN389/BN392</f>
        <v>0.17966903073286053</v>
      </c>
      <c r="BP389" s="6">
        <f>76/$BP$3</f>
        <v>0.17966903073286053</v>
      </c>
      <c r="BR389">
        <v>54</v>
      </c>
      <c r="BS389" s="6">
        <f>BR389/BR392</f>
        <v>0.19708029197080293</v>
      </c>
      <c r="BT389" s="6">
        <f>54/$BT$3</f>
        <v>0.19708029197080293</v>
      </c>
      <c r="BV389">
        <v>52</v>
      </c>
      <c r="BW389" s="6">
        <f>BV389/BV392</f>
        <v>0.17049180327868851</v>
      </c>
      <c r="BX389" s="6">
        <f>52/$BX$3</f>
        <v>0.17049180327868851</v>
      </c>
      <c r="BZ389">
        <v>57</v>
      </c>
      <c r="CA389" s="6">
        <f>BZ389/BZ392</f>
        <v>0.2544642857142857</v>
      </c>
      <c r="CB389" s="9">
        <f>57/$CB$3</f>
        <v>0.2544642857142857</v>
      </c>
      <c r="CD389">
        <v>53</v>
      </c>
      <c r="CE389" s="6">
        <f>CD389/CD392</f>
        <v>0.21991701244813278</v>
      </c>
      <c r="CF389" s="6">
        <f>53/$CF$3</f>
        <v>0.21991701244813278</v>
      </c>
      <c r="CH389">
        <v>53</v>
      </c>
      <c r="CI389" s="6">
        <f>CH389/CH392</f>
        <v>0.16060606060606061</v>
      </c>
      <c r="CJ389" s="6">
        <f>53/$CJ$3</f>
        <v>0.16060606060606061</v>
      </c>
    </row>
    <row r="390" spans="1:88" x14ac:dyDescent="0.35">
      <c r="A390" s="1" t="s">
        <v>627</v>
      </c>
      <c r="B390">
        <v>885</v>
      </c>
      <c r="C390" s="6">
        <f>B390/B392</f>
        <v>0.80454545454545456</v>
      </c>
      <c r="D390" s="6">
        <f>885/$D$3</f>
        <v>0.80454545454545456</v>
      </c>
      <c r="F390">
        <v>713</v>
      </c>
      <c r="G390" s="6">
        <f>F390/F392</f>
        <v>0.78265642151481885</v>
      </c>
      <c r="H390" s="6">
        <f>713/$H$3</f>
        <v>0.78265642151481885</v>
      </c>
      <c r="J390">
        <v>298</v>
      </c>
      <c r="K390" s="6">
        <f>J390/J392</f>
        <v>0.68663594470046085</v>
      </c>
      <c r="L390" s="8">
        <f>298/$L$3</f>
        <v>0.68663594470046085</v>
      </c>
      <c r="N390">
        <v>64</v>
      </c>
      <c r="O390" s="6">
        <f>N390/N392</f>
        <v>0.79012345679012341</v>
      </c>
      <c r="P390" s="6">
        <f>64/$P$3</f>
        <v>0.79012345679012341</v>
      </c>
      <c r="R390">
        <v>424</v>
      </c>
      <c r="S390" s="6">
        <f>R390/R392</f>
        <v>0.75714285714285712</v>
      </c>
      <c r="T390" s="6">
        <f>424/$T$3</f>
        <v>0.75714285714285712</v>
      </c>
      <c r="V390">
        <v>461</v>
      </c>
      <c r="W390" s="6">
        <f>V390/V392</f>
        <v>0.85370370370370374</v>
      </c>
      <c r="X390" s="6">
        <f>461/$X$3</f>
        <v>0.85370370370370374</v>
      </c>
      <c r="Z390">
        <v>88</v>
      </c>
      <c r="AA390" s="6">
        <f>Z390/Z392</f>
        <v>0.77876106194690264</v>
      </c>
      <c r="AB390" s="6">
        <f>88/$AB$3</f>
        <v>0.77876106194690264</v>
      </c>
      <c r="AD390">
        <v>161</v>
      </c>
      <c r="AE390" s="6">
        <f>AD390/AD392</f>
        <v>0.81313131313131315</v>
      </c>
      <c r="AF390" s="6">
        <f>161/$AF$3</f>
        <v>0.81313131313131315</v>
      </c>
      <c r="AH390">
        <v>188</v>
      </c>
      <c r="AI390" s="6">
        <f>AH390/AH392</f>
        <v>0.76113360323886636</v>
      </c>
      <c r="AJ390" s="6">
        <f>188/$AJ$3</f>
        <v>0.76113360323886636</v>
      </c>
      <c r="AL390">
        <v>180</v>
      </c>
      <c r="AM390" s="6">
        <f>AL390/AL392</f>
        <v>0.77586206896551724</v>
      </c>
      <c r="AN390" s="6">
        <f>180/$AN$3</f>
        <v>0.77586206896551724</v>
      </c>
      <c r="AP390">
        <v>158</v>
      </c>
      <c r="AQ390" s="6">
        <f>AP390/AP392</f>
        <v>0.84946236559139787</v>
      </c>
      <c r="AR390" s="6">
        <f>158/$AR$3</f>
        <v>0.84946236559139787</v>
      </c>
      <c r="AT390">
        <v>110</v>
      </c>
      <c r="AU390" s="6">
        <f>AT390/AT392</f>
        <v>0.88709677419354838</v>
      </c>
      <c r="AV390" s="9">
        <f>110/$AV$3</f>
        <v>0.88709677419354838</v>
      </c>
      <c r="AW390" s="7"/>
      <c r="AX390">
        <v>356</v>
      </c>
      <c r="AY390" s="6">
        <f>AX390/AX392</f>
        <v>0.82790697674418601</v>
      </c>
      <c r="AZ390" s="6">
        <f>356/$AZ$3</f>
        <v>0.82790697674418601</v>
      </c>
      <c r="BB390">
        <v>329</v>
      </c>
      <c r="BC390" s="6">
        <f>BB390/BB392</f>
        <v>0.76869158878504673</v>
      </c>
      <c r="BD390" s="6">
        <f>329/$BD$3</f>
        <v>0.76869158878504673</v>
      </c>
      <c r="BF390">
        <v>200</v>
      </c>
      <c r="BG390" s="6">
        <f>BF390/BF392</f>
        <v>0.82644628099173556</v>
      </c>
      <c r="BH390" s="6">
        <f>200/$BH$3</f>
        <v>0.82644628099173556</v>
      </c>
      <c r="BJ390">
        <v>318</v>
      </c>
      <c r="BK390" s="6">
        <f>BJ390/BJ392</f>
        <v>0.78908188585607941</v>
      </c>
      <c r="BL390" s="6">
        <f>318/$BL$3</f>
        <v>0.78908188585607941</v>
      </c>
      <c r="BN390">
        <v>347</v>
      </c>
      <c r="BO390" s="6">
        <f>BN390/BN392</f>
        <v>0.82033096926713944</v>
      </c>
      <c r="BP390" s="6">
        <f>347/$BP$3</f>
        <v>0.82033096926713944</v>
      </c>
      <c r="BR390">
        <v>220</v>
      </c>
      <c r="BS390" s="6">
        <f>BR390/BR392</f>
        <v>0.8029197080291971</v>
      </c>
      <c r="BT390" s="6">
        <f>220/$BT$3</f>
        <v>0.8029197080291971</v>
      </c>
      <c r="BV390">
        <v>253</v>
      </c>
      <c r="BW390" s="6">
        <f>BV390/BV392</f>
        <v>0.82950819672131149</v>
      </c>
      <c r="BX390" s="6">
        <f>253/$BX$3</f>
        <v>0.82950819672131149</v>
      </c>
      <c r="BZ390">
        <v>167</v>
      </c>
      <c r="CA390" s="6">
        <f>BZ390/BZ392</f>
        <v>0.7455357142857143</v>
      </c>
      <c r="CB390" s="8">
        <f>167/$CB$3</f>
        <v>0.7455357142857143</v>
      </c>
      <c r="CD390">
        <v>188</v>
      </c>
      <c r="CE390" s="6">
        <f>CD390/CD392</f>
        <v>0.78008298755186722</v>
      </c>
      <c r="CF390" s="6">
        <f>188/$CF$3</f>
        <v>0.78008298755186722</v>
      </c>
      <c r="CH390">
        <v>277</v>
      </c>
      <c r="CI390" s="6">
        <f>CH390/CH392</f>
        <v>0.83939393939393936</v>
      </c>
      <c r="CJ390" s="6">
        <f>277/$CJ$3</f>
        <v>0.83939393939393936</v>
      </c>
    </row>
    <row r="391" spans="1:88" x14ac:dyDescent="0.35">
      <c r="A391" s="1" t="s">
        <v>409</v>
      </c>
      <c r="B391">
        <v>0</v>
      </c>
      <c r="C391" s="6">
        <f>B391/B392</f>
        <v>0</v>
      </c>
      <c r="D391" s="6">
        <f>0/$D$3</f>
        <v>0</v>
      </c>
      <c r="F391">
        <v>0</v>
      </c>
      <c r="G391" s="6">
        <f>F391/F392</f>
        <v>0</v>
      </c>
      <c r="H391" s="6">
        <f>0/$H$3</f>
        <v>0</v>
      </c>
      <c r="J391">
        <v>0</v>
      </c>
      <c r="K391" s="6">
        <f>J391/J392</f>
        <v>0</v>
      </c>
      <c r="L391" s="6">
        <f>0/$L$3</f>
        <v>0</v>
      </c>
      <c r="N391">
        <v>0</v>
      </c>
      <c r="O391" s="6">
        <f>N391/N392</f>
        <v>0</v>
      </c>
      <c r="P391" s="6">
        <f>0/$P$3</f>
        <v>0</v>
      </c>
      <c r="R391">
        <v>0</v>
      </c>
      <c r="S391" s="6">
        <f>R391/R392</f>
        <v>0</v>
      </c>
      <c r="T391" s="6">
        <f>0/$T$3</f>
        <v>0</v>
      </c>
      <c r="V391">
        <v>0</v>
      </c>
      <c r="W391" s="6">
        <f>V391/V392</f>
        <v>0</v>
      </c>
      <c r="X391" s="6">
        <f>0/$X$3</f>
        <v>0</v>
      </c>
      <c r="Z391">
        <v>0</v>
      </c>
      <c r="AA391" s="6">
        <f>Z391/Z392</f>
        <v>0</v>
      </c>
      <c r="AB391" s="6">
        <f>0/$AB$3</f>
        <v>0</v>
      </c>
      <c r="AD391">
        <v>0</v>
      </c>
      <c r="AE391" s="6">
        <f>AD391/AD392</f>
        <v>0</v>
      </c>
      <c r="AF391" s="6">
        <f>0/$AF$3</f>
        <v>0</v>
      </c>
      <c r="AH391">
        <v>0</v>
      </c>
      <c r="AI391" s="6">
        <f>AH391/AH392</f>
        <v>0</v>
      </c>
      <c r="AJ391" s="6">
        <f>0/$AJ$3</f>
        <v>0</v>
      </c>
      <c r="AL391">
        <v>0</v>
      </c>
      <c r="AM391" s="6">
        <f>AL391/AL392</f>
        <v>0</v>
      </c>
      <c r="AN391" s="6">
        <f>0/$AN$3</f>
        <v>0</v>
      </c>
      <c r="AP391">
        <v>0</v>
      </c>
      <c r="AQ391" s="6">
        <f>AP391/AP392</f>
        <v>0</v>
      </c>
      <c r="AR391" s="6">
        <f>0/$AR$3</f>
        <v>0</v>
      </c>
      <c r="AT391">
        <v>0</v>
      </c>
      <c r="AU391" s="6">
        <f>AT391/AT392</f>
        <v>0</v>
      </c>
      <c r="AV391" s="6">
        <f>0/$AV$3</f>
        <v>0</v>
      </c>
      <c r="AX391">
        <v>0</v>
      </c>
      <c r="AY391" s="6">
        <f>AX391/AX392</f>
        <v>0</v>
      </c>
      <c r="AZ391" s="6">
        <f>0/$AZ$3</f>
        <v>0</v>
      </c>
      <c r="BB391">
        <v>0</v>
      </c>
      <c r="BC391" s="6">
        <f>BB391/BB392</f>
        <v>0</v>
      </c>
      <c r="BD391" s="6">
        <f>0/$BD$3</f>
        <v>0</v>
      </c>
      <c r="BF391">
        <v>0</v>
      </c>
      <c r="BG391" s="6">
        <f>BF391/BF392</f>
        <v>0</v>
      </c>
      <c r="BH391" s="6">
        <f>0/$BH$3</f>
        <v>0</v>
      </c>
      <c r="BJ391">
        <v>0</v>
      </c>
      <c r="BK391" s="6">
        <f>BJ391/BJ392</f>
        <v>0</v>
      </c>
      <c r="BL391" s="6">
        <f>0/$BL$3</f>
        <v>0</v>
      </c>
      <c r="BN391">
        <v>0</v>
      </c>
      <c r="BO391" s="6">
        <f>BN391/BN392</f>
        <v>0</v>
      </c>
      <c r="BP391" s="6">
        <f>0/$BP$3</f>
        <v>0</v>
      </c>
      <c r="BR391">
        <v>0</v>
      </c>
      <c r="BS391" s="6">
        <f>BR391/BR392</f>
        <v>0</v>
      </c>
      <c r="BT391" s="6">
        <f>0/$BT$3</f>
        <v>0</v>
      </c>
      <c r="BV391">
        <v>0</v>
      </c>
      <c r="BW391" s="6">
        <f>BV391/BV392</f>
        <v>0</v>
      </c>
      <c r="BX391" s="6">
        <f>0/$BX$3</f>
        <v>0</v>
      </c>
      <c r="BZ391">
        <v>0</v>
      </c>
      <c r="CA391" s="6">
        <f>BZ391/BZ392</f>
        <v>0</v>
      </c>
      <c r="CB391" s="6">
        <f>0/$CB$3</f>
        <v>0</v>
      </c>
      <c r="CD391">
        <v>0</v>
      </c>
      <c r="CE391" s="6">
        <f>CD391/CD392</f>
        <v>0</v>
      </c>
      <c r="CF391" s="6">
        <f>0/$CF$3</f>
        <v>0</v>
      </c>
      <c r="CH391">
        <v>0</v>
      </c>
      <c r="CI391" s="6">
        <f>CH391/CH392</f>
        <v>0</v>
      </c>
      <c r="CJ391" s="6">
        <f>0/$CJ$3</f>
        <v>0</v>
      </c>
    </row>
    <row r="392" spans="1:88" s="10" customFormat="1" x14ac:dyDescent="0.35">
      <c r="A392" s="11" t="s">
        <v>411</v>
      </c>
      <c r="B392" s="10">
        <v>1100</v>
      </c>
      <c r="F392" s="10">
        <v>911</v>
      </c>
      <c r="J392" s="10">
        <v>434</v>
      </c>
      <c r="N392" s="10">
        <v>81</v>
      </c>
      <c r="R392" s="10">
        <v>560</v>
      </c>
      <c r="V392" s="10">
        <v>540</v>
      </c>
      <c r="Z392" s="10">
        <v>113</v>
      </c>
      <c r="AD392" s="10">
        <v>198</v>
      </c>
      <c r="AH392" s="10">
        <v>247</v>
      </c>
      <c r="AL392" s="10">
        <v>232</v>
      </c>
      <c r="AP392" s="10">
        <v>186</v>
      </c>
      <c r="AT392" s="10">
        <v>124</v>
      </c>
      <c r="AX392" s="10">
        <v>430</v>
      </c>
      <c r="BB392" s="10">
        <v>428</v>
      </c>
      <c r="BF392" s="10">
        <v>242</v>
      </c>
      <c r="BJ392" s="10">
        <v>403</v>
      </c>
      <c r="BN392" s="10">
        <v>423</v>
      </c>
      <c r="BR392" s="10">
        <v>274</v>
      </c>
      <c r="BV392" s="10">
        <v>305</v>
      </c>
      <c r="BZ392" s="10">
        <v>224</v>
      </c>
      <c r="CD392" s="10">
        <v>241</v>
      </c>
      <c r="CH392" s="10">
        <v>330</v>
      </c>
    </row>
    <row r="393" spans="1:88" hidden="1" x14ac:dyDescent="0.35">
      <c r="A393" s="12" t="s">
        <v>412</v>
      </c>
      <c r="B393">
        <v>0</v>
      </c>
      <c r="F393">
        <v>0</v>
      </c>
      <c r="J393">
        <v>0</v>
      </c>
      <c r="N393">
        <v>0</v>
      </c>
      <c r="R393">
        <v>0</v>
      </c>
      <c r="V393">
        <v>0</v>
      </c>
      <c r="Z393">
        <v>0</v>
      </c>
      <c r="AD393">
        <v>0</v>
      </c>
      <c r="AH393">
        <v>0</v>
      </c>
      <c r="AL393">
        <v>0</v>
      </c>
      <c r="AP393">
        <v>0</v>
      </c>
      <c r="AT393">
        <v>0</v>
      </c>
      <c r="AX393">
        <v>0</v>
      </c>
      <c r="BB393">
        <v>0</v>
      </c>
      <c r="BF393">
        <v>0</v>
      </c>
      <c r="BJ393">
        <v>0</v>
      </c>
      <c r="BN393">
        <v>0</v>
      </c>
      <c r="BR393">
        <v>0</v>
      </c>
      <c r="BV393">
        <v>0</v>
      </c>
      <c r="BZ393">
        <v>0</v>
      </c>
      <c r="CD393">
        <v>0</v>
      </c>
      <c r="CH393">
        <v>0</v>
      </c>
    </row>
    <row r="394" spans="1:88" hidden="1" x14ac:dyDescent="0.35">
      <c r="A394" s="12" t="s">
        <v>413</v>
      </c>
      <c r="B394">
        <v>0</v>
      </c>
      <c r="F394">
        <v>0</v>
      </c>
      <c r="J394">
        <v>0</v>
      </c>
      <c r="N394">
        <v>0</v>
      </c>
      <c r="R394">
        <v>0</v>
      </c>
      <c r="V394">
        <v>0</v>
      </c>
      <c r="Z394">
        <v>0</v>
      </c>
      <c r="AD394">
        <v>0</v>
      </c>
      <c r="AH394">
        <v>0</v>
      </c>
      <c r="AL394">
        <v>0</v>
      </c>
      <c r="AP394">
        <v>0</v>
      </c>
      <c r="AT394">
        <v>0</v>
      </c>
      <c r="AX394">
        <v>0</v>
      </c>
      <c r="BB394">
        <v>0</v>
      </c>
      <c r="BF394">
        <v>0</v>
      </c>
      <c r="BJ394">
        <v>0</v>
      </c>
      <c r="BN394">
        <v>0</v>
      </c>
      <c r="BR394">
        <v>0</v>
      </c>
      <c r="BV394">
        <v>0</v>
      </c>
      <c r="BZ394">
        <v>0</v>
      </c>
      <c r="CD394">
        <v>0</v>
      </c>
      <c r="CH394">
        <v>0</v>
      </c>
    </row>
    <row r="396" spans="1:88" x14ac:dyDescent="0.35">
      <c r="AB396" s="2" t="s">
        <v>3</v>
      </c>
      <c r="AF396" s="2" t="s">
        <v>4</v>
      </c>
      <c r="AJ396" s="2" t="s">
        <v>5</v>
      </c>
      <c r="AN396" s="2" t="s">
        <v>6</v>
      </c>
      <c r="AR396" s="2" t="s">
        <v>7</v>
      </c>
      <c r="AV396" s="2" t="s">
        <v>8</v>
      </c>
      <c r="AZ396" s="2" t="s">
        <v>3</v>
      </c>
      <c r="BD396" s="2" t="s">
        <v>4</v>
      </c>
      <c r="BH396" s="2" t="s">
        <v>5</v>
      </c>
      <c r="BL396" s="2" t="s">
        <v>3</v>
      </c>
      <c r="BP396" s="2" t="s">
        <v>4</v>
      </c>
      <c r="BT396" s="2" t="s">
        <v>5</v>
      </c>
      <c r="BX396" s="2" t="s">
        <v>3</v>
      </c>
      <c r="CB396" s="2" t="s">
        <v>4</v>
      </c>
      <c r="CF396" s="2" t="s">
        <v>5</v>
      </c>
      <c r="CJ396" s="2" t="s">
        <v>6</v>
      </c>
    </row>
    <row r="397" spans="1:88" s="3" customFormat="1" x14ac:dyDescent="0.35">
      <c r="A397" s="4" t="str">
        <f>HYPERLINK("#sledovanitv_emo!A1","Jaký pocit ze značky **SledovaniTV** máte?")</f>
        <v>Jaký pocit ze značky **SledovaniTV** máte?</v>
      </c>
      <c r="D397" s="5" t="s">
        <v>406</v>
      </c>
      <c r="H397" s="5" t="s">
        <v>406</v>
      </c>
      <c r="L397" s="5" t="s">
        <v>406</v>
      </c>
      <c r="P397" s="5" t="s">
        <v>406</v>
      </c>
      <c r="T397" s="5" t="s">
        <v>406</v>
      </c>
      <c r="X397" s="5" t="s">
        <v>406</v>
      </c>
      <c r="AB397" s="5" t="s">
        <v>406</v>
      </c>
      <c r="AF397" s="5" t="s">
        <v>406</v>
      </c>
      <c r="AJ397" s="5" t="s">
        <v>406</v>
      </c>
      <c r="AN397" s="5" t="s">
        <v>406</v>
      </c>
      <c r="AR397" s="5" t="s">
        <v>406</v>
      </c>
      <c r="AV397" s="5" t="s">
        <v>406</v>
      </c>
      <c r="AZ397" s="5" t="s">
        <v>406</v>
      </c>
      <c r="BD397" s="5" t="s">
        <v>406</v>
      </c>
      <c r="BH397" s="5" t="s">
        <v>406</v>
      </c>
      <c r="BL397" s="5" t="s">
        <v>406</v>
      </c>
      <c r="BP397" s="5" t="s">
        <v>406</v>
      </c>
      <c r="BT397" s="5" t="s">
        <v>406</v>
      </c>
      <c r="BX397" s="5" t="s">
        <v>406</v>
      </c>
      <c r="CB397" s="5" t="s">
        <v>406</v>
      </c>
      <c r="CF397" s="5" t="s">
        <v>406</v>
      </c>
      <c r="CJ397" s="5" t="s">
        <v>406</v>
      </c>
    </row>
    <row r="398" spans="1:88" x14ac:dyDescent="0.35">
      <c r="A398" s="1" t="s">
        <v>628</v>
      </c>
      <c r="B398">
        <v>42</v>
      </c>
      <c r="C398" s="6">
        <f>B398/B404</f>
        <v>0.19534883720930232</v>
      </c>
      <c r="D398" s="6">
        <f>42/$D$3</f>
        <v>3.8181818181818185E-2</v>
      </c>
      <c r="F398">
        <v>41</v>
      </c>
      <c r="G398" s="6">
        <f>F398/F404</f>
        <v>0.20707070707070707</v>
      </c>
      <c r="H398" s="6">
        <f>41/$H$3</f>
        <v>4.5005488474204172E-2</v>
      </c>
      <c r="J398">
        <v>32</v>
      </c>
      <c r="K398" s="6">
        <f>J398/J404</f>
        <v>0.23529411764705882</v>
      </c>
      <c r="L398" s="6">
        <f>32/$L$3</f>
        <v>7.3732718894009217E-2</v>
      </c>
      <c r="N398">
        <v>2</v>
      </c>
      <c r="O398" s="6">
        <f>N398/N404</f>
        <v>0.11764705882352941</v>
      </c>
      <c r="P398" s="6">
        <f>2/$P$3</f>
        <v>2.4691358024691357E-2</v>
      </c>
      <c r="R398">
        <v>23</v>
      </c>
      <c r="S398" s="6">
        <f>R398/R404</f>
        <v>0.16911764705882354</v>
      </c>
      <c r="T398" s="6">
        <f>23/$T$3</f>
        <v>4.1071428571428571E-2</v>
      </c>
      <c r="V398">
        <v>19</v>
      </c>
      <c r="W398" s="6">
        <f>V398/V404</f>
        <v>0.24050632911392406</v>
      </c>
      <c r="X398" s="6">
        <f>19/$X$3</f>
        <v>3.5185185185185187E-2</v>
      </c>
      <c r="Z398">
        <v>9</v>
      </c>
      <c r="AA398" s="6">
        <f>Z398/Z404</f>
        <v>0.36</v>
      </c>
      <c r="AB398" s="6">
        <f>9/$AB$3</f>
        <v>7.9646017699115043E-2</v>
      </c>
      <c r="AD398">
        <v>6</v>
      </c>
      <c r="AE398" s="6">
        <f>AD398/AD404</f>
        <v>0.16216216216216217</v>
      </c>
      <c r="AF398" s="6">
        <f>6/$AF$3</f>
        <v>3.0303030303030304E-2</v>
      </c>
      <c r="AH398">
        <v>11</v>
      </c>
      <c r="AI398" s="6">
        <f>AH398/AH404</f>
        <v>0.1864406779661017</v>
      </c>
      <c r="AJ398" s="6">
        <f>11/$AJ$3</f>
        <v>4.4534412955465584E-2</v>
      </c>
      <c r="AL398">
        <v>7</v>
      </c>
      <c r="AM398" s="6">
        <f>AL398/AL404</f>
        <v>0.13461538461538461</v>
      </c>
      <c r="AN398" s="6">
        <f>7/$AN$3</f>
        <v>3.017241379310345E-2</v>
      </c>
      <c r="AP398">
        <v>5</v>
      </c>
      <c r="AQ398" s="6">
        <f>AP398/AP404</f>
        <v>0.17857142857142858</v>
      </c>
      <c r="AR398" s="6">
        <f>5/$AR$3</f>
        <v>2.6881720430107527E-2</v>
      </c>
      <c r="AT398">
        <v>4</v>
      </c>
      <c r="AU398" s="6">
        <f>AT398/AT404</f>
        <v>0.2857142857142857</v>
      </c>
      <c r="AV398" s="6">
        <f>4/$AV$3</f>
        <v>3.2258064516129031E-2</v>
      </c>
      <c r="AX398">
        <v>22</v>
      </c>
      <c r="AY398" s="6">
        <f>AX398/AX404</f>
        <v>0.29729729729729731</v>
      </c>
      <c r="AZ398" s="6">
        <f>22/$AZ$3</f>
        <v>5.1162790697674418E-2</v>
      </c>
      <c r="BB398">
        <v>14</v>
      </c>
      <c r="BC398" s="6">
        <f>BB398/BB404</f>
        <v>0.14141414141414141</v>
      </c>
      <c r="BD398" s="6">
        <f>14/$BD$3</f>
        <v>3.2710280373831772E-2</v>
      </c>
      <c r="BF398">
        <v>6</v>
      </c>
      <c r="BG398" s="6">
        <f>BF398/BF404</f>
        <v>0.14285714285714285</v>
      </c>
      <c r="BH398" s="6">
        <f>6/$BH$3</f>
        <v>2.4793388429752067E-2</v>
      </c>
      <c r="BJ398">
        <v>12</v>
      </c>
      <c r="BK398" s="6">
        <f>BJ398/BJ404</f>
        <v>0.14117647058823529</v>
      </c>
      <c r="BL398" s="6">
        <f>12/$BL$3</f>
        <v>2.9776674937965261E-2</v>
      </c>
      <c r="BN398">
        <v>18</v>
      </c>
      <c r="BO398" s="6">
        <f>BN398/BN404</f>
        <v>0.23684210526315788</v>
      </c>
      <c r="BP398" s="6">
        <f>18/$BP$3</f>
        <v>4.2553191489361701E-2</v>
      </c>
      <c r="BR398">
        <v>12</v>
      </c>
      <c r="BS398" s="6">
        <f>BR398/BR404</f>
        <v>0.22222222222222221</v>
      </c>
      <c r="BT398" s="6">
        <f>12/$BT$3</f>
        <v>4.3795620437956206E-2</v>
      </c>
      <c r="BV398">
        <v>9</v>
      </c>
      <c r="BW398" s="6">
        <f>BV398/BV404</f>
        <v>0.17307692307692307</v>
      </c>
      <c r="BX398" s="6">
        <f>9/$BX$3</f>
        <v>2.9508196721311476E-2</v>
      </c>
      <c r="BZ398">
        <v>15</v>
      </c>
      <c r="CA398" s="6">
        <f>BZ398/BZ404</f>
        <v>0.26315789473684209</v>
      </c>
      <c r="CB398" s="6">
        <f>15/$CB$3</f>
        <v>6.6964285714285712E-2</v>
      </c>
      <c r="CD398">
        <v>8</v>
      </c>
      <c r="CE398" s="6">
        <f>CD398/CD404</f>
        <v>0.15094339622641509</v>
      </c>
      <c r="CF398" s="6">
        <f>8/$CF$3</f>
        <v>3.3195020746887967E-2</v>
      </c>
      <c r="CH398">
        <v>10</v>
      </c>
      <c r="CI398" s="6">
        <f>CH398/CH404</f>
        <v>0.18867924528301888</v>
      </c>
      <c r="CJ398" s="6">
        <f>10/$CJ$3</f>
        <v>3.0303030303030304E-2</v>
      </c>
    </row>
    <row r="399" spans="1:88" x14ac:dyDescent="0.35">
      <c r="A399" s="1" t="s">
        <v>630</v>
      </c>
      <c r="B399">
        <v>81</v>
      </c>
      <c r="C399" s="6">
        <f>B399/B404</f>
        <v>0.37674418604651161</v>
      </c>
      <c r="D399" s="6">
        <f>81/$D$3</f>
        <v>7.3636363636363639E-2</v>
      </c>
      <c r="F399">
        <v>74</v>
      </c>
      <c r="G399" s="6">
        <f>F399/F404</f>
        <v>0.37373737373737376</v>
      </c>
      <c r="H399" s="6">
        <f>74/$H$3</f>
        <v>8.1229418221734365E-2</v>
      </c>
      <c r="J399">
        <v>53</v>
      </c>
      <c r="K399" s="6">
        <f>J399/J404</f>
        <v>0.38970588235294118</v>
      </c>
      <c r="L399" s="6">
        <f>53/$L$3</f>
        <v>0.12211981566820276</v>
      </c>
      <c r="N399">
        <v>10</v>
      </c>
      <c r="O399" s="6">
        <f>N399/N404</f>
        <v>0.58823529411764708</v>
      </c>
      <c r="P399" s="6">
        <f>10/$P$3</f>
        <v>0.12345679012345678</v>
      </c>
      <c r="R399">
        <v>55</v>
      </c>
      <c r="S399" s="6">
        <f>R399/R404</f>
        <v>0.40441176470588236</v>
      </c>
      <c r="T399" s="6">
        <f>55/$T$3</f>
        <v>9.8214285714285712E-2</v>
      </c>
      <c r="V399">
        <v>26</v>
      </c>
      <c r="W399" s="6">
        <f>V399/V404</f>
        <v>0.32911392405063289</v>
      </c>
      <c r="X399" s="6">
        <f>26/$X$3</f>
        <v>4.8148148148148148E-2</v>
      </c>
      <c r="Z399">
        <v>13</v>
      </c>
      <c r="AA399" s="6">
        <f>Z399/Z404</f>
        <v>0.52</v>
      </c>
      <c r="AB399" s="6">
        <f>13/$AB$3</f>
        <v>0.11504424778761062</v>
      </c>
      <c r="AD399">
        <v>15</v>
      </c>
      <c r="AE399" s="6">
        <f>AD399/AD404</f>
        <v>0.40540540540540543</v>
      </c>
      <c r="AF399" s="6">
        <f>15/$AF$3</f>
        <v>7.575757575757576E-2</v>
      </c>
      <c r="AH399">
        <v>24</v>
      </c>
      <c r="AI399" s="6">
        <f>AH399/AH404</f>
        <v>0.40677966101694918</v>
      </c>
      <c r="AJ399" s="6">
        <f>24/$AJ$3</f>
        <v>9.7165991902834009E-2</v>
      </c>
      <c r="AL399">
        <v>17</v>
      </c>
      <c r="AM399" s="6">
        <f>AL399/AL404</f>
        <v>0.32692307692307693</v>
      </c>
      <c r="AN399" s="6">
        <f>17/$AN$3</f>
        <v>7.3275862068965511E-2</v>
      </c>
      <c r="AP399">
        <v>8</v>
      </c>
      <c r="AQ399" s="6">
        <f>AP399/AP404</f>
        <v>0.2857142857142857</v>
      </c>
      <c r="AR399" s="6">
        <f>8/$AR$3</f>
        <v>4.3010752688172046E-2</v>
      </c>
      <c r="AT399">
        <v>4</v>
      </c>
      <c r="AU399" s="6">
        <f>AT399/AT404</f>
        <v>0.2857142857142857</v>
      </c>
      <c r="AV399" s="6">
        <f>4/$AV$3</f>
        <v>3.2258064516129031E-2</v>
      </c>
      <c r="AX399">
        <v>21</v>
      </c>
      <c r="AY399" s="6">
        <f>AX399/AX404</f>
        <v>0.28378378378378377</v>
      </c>
      <c r="AZ399" s="6">
        <f>21/$AZ$3</f>
        <v>4.8837209302325581E-2</v>
      </c>
      <c r="BB399">
        <v>42</v>
      </c>
      <c r="BC399" s="6">
        <f>BB399/BB404</f>
        <v>0.42424242424242425</v>
      </c>
      <c r="BD399" s="6">
        <f>42/$BD$3</f>
        <v>9.8130841121495324E-2</v>
      </c>
      <c r="BF399">
        <v>18</v>
      </c>
      <c r="BG399" s="6">
        <f>BF399/BF404</f>
        <v>0.42857142857142855</v>
      </c>
      <c r="BH399" s="6">
        <f>18/$BH$3</f>
        <v>7.43801652892562E-2</v>
      </c>
      <c r="BJ399">
        <v>33</v>
      </c>
      <c r="BK399" s="6">
        <f>BJ399/BJ404</f>
        <v>0.38823529411764707</v>
      </c>
      <c r="BL399" s="6">
        <f>33/$BL$3</f>
        <v>8.1885856079404462E-2</v>
      </c>
      <c r="BN399">
        <v>29</v>
      </c>
      <c r="BO399" s="6">
        <f>BN399/BN404</f>
        <v>0.38157894736842107</v>
      </c>
      <c r="BP399" s="6">
        <f>29/$BP$3</f>
        <v>6.8557919621749411E-2</v>
      </c>
      <c r="BR399">
        <v>19</v>
      </c>
      <c r="BS399" s="6">
        <f>BR399/BR404</f>
        <v>0.35185185185185186</v>
      </c>
      <c r="BT399" s="6">
        <f>19/$BT$3</f>
        <v>6.9343065693430656E-2</v>
      </c>
      <c r="BV399">
        <v>20</v>
      </c>
      <c r="BW399" s="6">
        <f>BV399/BV404</f>
        <v>0.38461538461538464</v>
      </c>
      <c r="BX399" s="6">
        <f>20/$BX$3</f>
        <v>6.5573770491803282E-2</v>
      </c>
      <c r="BZ399">
        <v>22</v>
      </c>
      <c r="CA399" s="6">
        <f>BZ399/BZ404</f>
        <v>0.38596491228070173</v>
      </c>
      <c r="CB399" s="6">
        <f>22/$CB$3</f>
        <v>9.8214285714285712E-2</v>
      </c>
      <c r="CD399">
        <v>21</v>
      </c>
      <c r="CE399" s="6">
        <f>CD399/CD404</f>
        <v>0.39622641509433965</v>
      </c>
      <c r="CF399" s="6">
        <f>21/$CF$3</f>
        <v>8.7136929460580909E-2</v>
      </c>
      <c r="CH399">
        <v>18</v>
      </c>
      <c r="CI399" s="6">
        <f>CH399/CH404</f>
        <v>0.33962264150943394</v>
      </c>
      <c r="CJ399" s="6">
        <f>18/$CJ$3</f>
        <v>5.4545454545454543E-2</v>
      </c>
    </row>
    <row r="400" spans="1:88" x14ac:dyDescent="0.35">
      <c r="A400" s="1" t="s">
        <v>637</v>
      </c>
      <c r="B400">
        <v>76</v>
      </c>
      <c r="C400" s="6">
        <f>B400/B404</f>
        <v>0.35348837209302325</v>
      </c>
      <c r="D400" s="6">
        <f>76/$D$3</f>
        <v>6.9090909090909092E-2</v>
      </c>
      <c r="F400">
        <v>68</v>
      </c>
      <c r="G400" s="6">
        <f>F400/F404</f>
        <v>0.34343434343434343</v>
      </c>
      <c r="H400" s="6">
        <f>68/$H$3</f>
        <v>7.4643249176728863E-2</v>
      </c>
      <c r="J400">
        <v>45</v>
      </c>
      <c r="K400" s="6">
        <f>J400/J404</f>
        <v>0.33088235294117646</v>
      </c>
      <c r="L400" s="6">
        <f>45/$L$3</f>
        <v>0.10368663594470046</v>
      </c>
      <c r="N400">
        <v>4</v>
      </c>
      <c r="O400" s="6">
        <f>N400/N404</f>
        <v>0.23529411764705882</v>
      </c>
      <c r="P400" s="6">
        <f>4/$P$3</f>
        <v>4.9382716049382713E-2</v>
      </c>
      <c r="R400">
        <v>47</v>
      </c>
      <c r="S400" s="6">
        <f>R400/R404</f>
        <v>0.34558823529411764</v>
      </c>
      <c r="T400" s="6">
        <f>47/$T$3</f>
        <v>8.3928571428571422E-2</v>
      </c>
      <c r="V400">
        <v>29</v>
      </c>
      <c r="W400" s="6">
        <f>V400/V404</f>
        <v>0.36708860759493672</v>
      </c>
      <c r="X400" s="6">
        <f>29/$X$3</f>
        <v>5.3703703703703705E-2</v>
      </c>
      <c r="Z400">
        <v>3</v>
      </c>
      <c r="AA400" s="6">
        <f>Z400/Z404</f>
        <v>0.12</v>
      </c>
      <c r="AB400" s="6">
        <f>3/$AB$3</f>
        <v>2.6548672566371681E-2</v>
      </c>
      <c r="AD400">
        <v>14</v>
      </c>
      <c r="AE400" s="6">
        <f>AD400/AD404</f>
        <v>0.3783783783783784</v>
      </c>
      <c r="AF400" s="6">
        <f>14/$AF$3</f>
        <v>7.0707070707070704E-2</v>
      </c>
      <c r="AH400">
        <v>18</v>
      </c>
      <c r="AI400" s="6">
        <f>AH400/AH404</f>
        <v>0.30508474576271188</v>
      </c>
      <c r="AJ400" s="6">
        <f>18/$AJ$3</f>
        <v>7.28744939271255E-2</v>
      </c>
      <c r="AL400">
        <v>22</v>
      </c>
      <c r="AM400" s="6">
        <f>AL400/AL404</f>
        <v>0.42307692307692307</v>
      </c>
      <c r="AN400" s="6">
        <f>22/$AN$3</f>
        <v>9.4827586206896547E-2</v>
      </c>
      <c r="AP400">
        <v>14</v>
      </c>
      <c r="AQ400" s="6">
        <f>AP400/AP404</f>
        <v>0.5</v>
      </c>
      <c r="AR400" s="6">
        <f>14/$AR$3</f>
        <v>7.5268817204301078E-2</v>
      </c>
      <c r="AT400">
        <v>5</v>
      </c>
      <c r="AU400" s="6">
        <f>AT400/AT404</f>
        <v>0.35714285714285715</v>
      </c>
      <c r="AV400" s="6">
        <f>5/$AV$3</f>
        <v>4.0322580645161289E-2</v>
      </c>
      <c r="AX400">
        <v>25</v>
      </c>
      <c r="AY400" s="6">
        <f>AX400/AX404</f>
        <v>0.33783783783783783</v>
      </c>
      <c r="AZ400" s="6">
        <f>25/$AZ$3</f>
        <v>5.8139534883720929E-2</v>
      </c>
      <c r="BB400">
        <v>35</v>
      </c>
      <c r="BC400" s="6">
        <f>BB400/BB404</f>
        <v>0.35353535353535354</v>
      </c>
      <c r="BD400" s="6">
        <f>35/$BD$3</f>
        <v>8.1775700934579434E-2</v>
      </c>
      <c r="BF400">
        <v>16</v>
      </c>
      <c r="BG400" s="6">
        <f>BF400/BF404</f>
        <v>0.38095238095238093</v>
      </c>
      <c r="BH400" s="6">
        <f>16/$BH$3</f>
        <v>6.6115702479338845E-2</v>
      </c>
      <c r="BJ400">
        <v>34</v>
      </c>
      <c r="BK400" s="6">
        <f>BJ400/BJ404</f>
        <v>0.4</v>
      </c>
      <c r="BL400" s="6">
        <f>34/$BL$3</f>
        <v>8.4367245657568243E-2</v>
      </c>
      <c r="BN400">
        <v>24</v>
      </c>
      <c r="BO400" s="6">
        <f>BN400/BN404</f>
        <v>0.31578947368421051</v>
      </c>
      <c r="BP400" s="6">
        <f>24/$BP$3</f>
        <v>5.6737588652482268E-2</v>
      </c>
      <c r="BR400">
        <v>18</v>
      </c>
      <c r="BS400" s="6">
        <f>BR400/BR404</f>
        <v>0.33333333333333331</v>
      </c>
      <c r="BT400" s="6">
        <f>18/$BT$3</f>
        <v>6.569343065693431E-2</v>
      </c>
      <c r="BV400">
        <v>16</v>
      </c>
      <c r="BW400" s="6">
        <f>BV400/BV404</f>
        <v>0.30769230769230771</v>
      </c>
      <c r="BX400" s="6">
        <f>16/$BX$3</f>
        <v>5.2459016393442623E-2</v>
      </c>
      <c r="BZ400">
        <v>17</v>
      </c>
      <c r="CA400" s="6">
        <f>BZ400/BZ404</f>
        <v>0.2982456140350877</v>
      </c>
      <c r="CB400" s="6">
        <f>17/$CB$3</f>
        <v>7.5892857142857137E-2</v>
      </c>
      <c r="CD400">
        <v>20</v>
      </c>
      <c r="CE400" s="6">
        <f>CD400/CD404</f>
        <v>0.37735849056603776</v>
      </c>
      <c r="CF400" s="6">
        <f>20/$CF$3</f>
        <v>8.2987551867219914E-2</v>
      </c>
      <c r="CH400">
        <v>23</v>
      </c>
      <c r="CI400" s="6">
        <f>CH400/CH404</f>
        <v>0.43396226415094341</v>
      </c>
      <c r="CJ400" s="6">
        <f>23/$CJ$3</f>
        <v>6.9696969696969702E-2</v>
      </c>
    </row>
    <row r="401" spans="1:88" x14ac:dyDescent="0.35">
      <c r="A401" s="1" t="s">
        <v>632</v>
      </c>
      <c r="B401">
        <v>14</v>
      </c>
      <c r="C401" s="6">
        <f>B401/B404</f>
        <v>6.5116279069767441E-2</v>
      </c>
      <c r="D401" s="6">
        <f>14/$D$3</f>
        <v>1.2727272727272728E-2</v>
      </c>
      <c r="F401">
        <v>13</v>
      </c>
      <c r="G401" s="6">
        <f>F401/F404</f>
        <v>6.5656565656565663E-2</v>
      </c>
      <c r="H401" s="6">
        <f>13/$H$3</f>
        <v>1.4270032930845226E-2</v>
      </c>
      <c r="J401">
        <v>5</v>
      </c>
      <c r="K401" s="6">
        <f>J401/J404</f>
        <v>3.6764705882352942E-2</v>
      </c>
      <c r="L401" s="6">
        <f>5/$L$3</f>
        <v>1.1520737327188941E-2</v>
      </c>
      <c r="N401">
        <v>1</v>
      </c>
      <c r="O401" s="6">
        <f>N401/N404</f>
        <v>5.8823529411764705E-2</v>
      </c>
      <c r="P401" s="6">
        <f>1/$P$3</f>
        <v>1.2345679012345678E-2</v>
      </c>
      <c r="R401">
        <v>10</v>
      </c>
      <c r="S401" s="6">
        <f>R401/R404</f>
        <v>7.3529411764705885E-2</v>
      </c>
      <c r="T401" s="6">
        <f>10/$T$3</f>
        <v>1.7857142857142856E-2</v>
      </c>
      <c r="V401">
        <v>4</v>
      </c>
      <c r="W401" s="6">
        <f>V401/V404</f>
        <v>5.0632911392405063E-2</v>
      </c>
      <c r="X401" s="6">
        <f>4/$X$3</f>
        <v>7.4074074074074077E-3</v>
      </c>
      <c r="Z401">
        <v>0</v>
      </c>
      <c r="AA401" s="6">
        <f>Z401/Z404</f>
        <v>0</v>
      </c>
      <c r="AB401" s="6">
        <f>0/$AB$3</f>
        <v>0</v>
      </c>
      <c r="AD401">
        <v>2</v>
      </c>
      <c r="AE401" s="6">
        <f>AD401/AD404</f>
        <v>5.4054054054054057E-2</v>
      </c>
      <c r="AF401" s="6">
        <f>2/$AF$3</f>
        <v>1.0101010101010102E-2</v>
      </c>
      <c r="AH401">
        <v>5</v>
      </c>
      <c r="AI401" s="6">
        <f>AH401/AH404</f>
        <v>8.4745762711864403E-2</v>
      </c>
      <c r="AJ401" s="6">
        <f>5/$AJ$3</f>
        <v>2.0242914979757085E-2</v>
      </c>
      <c r="AL401">
        <v>6</v>
      </c>
      <c r="AM401" s="6">
        <f>AL401/AL404</f>
        <v>0.11538461538461539</v>
      </c>
      <c r="AN401" s="6">
        <f>6/$AN$3</f>
        <v>2.5862068965517241E-2</v>
      </c>
      <c r="AP401">
        <v>1</v>
      </c>
      <c r="AQ401" s="6">
        <f>AP401/AP404</f>
        <v>3.5714285714285712E-2</v>
      </c>
      <c r="AR401" s="6">
        <f>1/$AR$3</f>
        <v>5.3763440860215058E-3</v>
      </c>
      <c r="AT401">
        <v>0</v>
      </c>
      <c r="AU401" s="6">
        <f>AT401/AT404</f>
        <v>0</v>
      </c>
      <c r="AV401" s="6">
        <f>0/$AV$3</f>
        <v>0</v>
      </c>
      <c r="AX401">
        <v>5</v>
      </c>
      <c r="AY401" s="6">
        <f>AX401/AX404</f>
        <v>6.7567567567567571E-2</v>
      </c>
      <c r="AZ401" s="6">
        <f>5/$AZ$3</f>
        <v>1.1627906976744186E-2</v>
      </c>
      <c r="BB401">
        <v>7</v>
      </c>
      <c r="BC401" s="6">
        <f>BB401/BB404</f>
        <v>7.0707070707070704E-2</v>
      </c>
      <c r="BD401" s="6">
        <f>7/$BD$3</f>
        <v>1.6355140186915886E-2</v>
      </c>
      <c r="BF401">
        <v>2</v>
      </c>
      <c r="BG401" s="6">
        <f>BF401/BF404</f>
        <v>4.7619047619047616E-2</v>
      </c>
      <c r="BH401" s="6">
        <f>2/$BH$3</f>
        <v>8.2644628099173556E-3</v>
      </c>
      <c r="BJ401">
        <v>6</v>
      </c>
      <c r="BK401" s="6">
        <f>BJ401/BJ404</f>
        <v>7.0588235294117646E-2</v>
      </c>
      <c r="BL401" s="6">
        <f>6/$BL$3</f>
        <v>1.488833746898263E-2</v>
      </c>
      <c r="BN401">
        <v>3</v>
      </c>
      <c r="BO401" s="6">
        <f>BN401/BN404</f>
        <v>3.9473684210526314E-2</v>
      </c>
      <c r="BP401" s="6">
        <f>3/$BP$3</f>
        <v>7.0921985815602835E-3</v>
      </c>
      <c r="BR401">
        <v>5</v>
      </c>
      <c r="BS401" s="6">
        <f>BR401/BR404</f>
        <v>9.2592592592592587E-2</v>
      </c>
      <c r="BT401" s="6">
        <f>5/$BT$3</f>
        <v>1.824817518248175E-2</v>
      </c>
      <c r="BV401">
        <v>7</v>
      </c>
      <c r="BW401" s="6">
        <f>BV401/BV404</f>
        <v>0.13461538461538461</v>
      </c>
      <c r="BX401" s="6">
        <f>7/$BX$3</f>
        <v>2.2950819672131147E-2</v>
      </c>
      <c r="BZ401">
        <v>2</v>
      </c>
      <c r="CA401" s="6">
        <f>BZ401/BZ404</f>
        <v>3.5087719298245612E-2</v>
      </c>
      <c r="CB401" s="6">
        <f>2/$CB$3</f>
        <v>8.9285714285714281E-3</v>
      </c>
      <c r="CD401">
        <v>4</v>
      </c>
      <c r="CE401" s="6">
        <f>CD401/CD404</f>
        <v>7.5471698113207544E-2</v>
      </c>
      <c r="CF401" s="6">
        <f>4/$CF$3</f>
        <v>1.6597510373443983E-2</v>
      </c>
      <c r="CH401">
        <v>1</v>
      </c>
      <c r="CI401" s="6">
        <f>CH401/CH404</f>
        <v>1.8867924528301886E-2</v>
      </c>
      <c r="CJ401" s="6">
        <f>1/$CJ$3</f>
        <v>3.0303030303030303E-3</v>
      </c>
    </row>
    <row r="402" spans="1:88" x14ac:dyDescent="0.35">
      <c r="A402" s="1" t="s">
        <v>646</v>
      </c>
      <c r="B402">
        <v>2</v>
      </c>
      <c r="C402" s="6">
        <f>B402/B404</f>
        <v>9.3023255813953487E-3</v>
      </c>
      <c r="D402" s="6">
        <f>2/$D$3</f>
        <v>1.8181818181818182E-3</v>
      </c>
      <c r="F402">
        <v>2</v>
      </c>
      <c r="G402" s="6">
        <f>F402/F404</f>
        <v>1.0101010101010102E-2</v>
      </c>
      <c r="H402" s="6">
        <f>2/$H$3</f>
        <v>2.1953896816684962E-3</v>
      </c>
      <c r="J402">
        <v>1</v>
      </c>
      <c r="K402" s="6">
        <f>J402/J404</f>
        <v>7.3529411764705881E-3</v>
      </c>
      <c r="L402" s="6">
        <f>1/$L$3</f>
        <v>2.304147465437788E-3</v>
      </c>
      <c r="N402">
        <v>0</v>
      </c>
      <c r="O402" s="6">
        <f>N402/N404</f>
        <v>0</v>
      </c>
      <c r="P402" s="6">
        <f>0/$P$3</f>
        <v>0</v>
      </c>
      <c r="R402">
        <v>1</v>
      </c>
      <c r="S402" s="6">
        <f>R402/R404</f>
        <v>7.3529411764705881E-3</v>
      </c>
      <c r="T402" s="6">
        <f>1/$T$3</f>
        <v>1.7857142857142857E-3</v>
      </c>
      <c r="V402">
        <v>1</v>
      </c>
      <c r="W402" s="6">
        <f>V402/V404</f>
        <v>1.2658227848101266E-2</v>
      </c>
      <c r="X402" s="6">
        <f>1/$X$3</f>
        <v>1.8518518518518519E-3</v>
      </c>
      <c r="Z402">
        <v>0</v>
      </c>
      <c r="AA402" s="6">
        <f>Z402/Z404</f>
        <v>0</v>
      </c>
      <c r="AB402" s="6">
        <f>0/$AB$3</f>
        <v>0</v>
      </c>
      <c r="AD402">
        <v>0</v>
      </c>
      <c r="AE402" s="6">
        <f>AD402/AD404</f>
        <v>0</v>
      </c>
      <c r="AF402" s="6">
        <f>0/$AF$3</f>
        <v>0</v>
      </c>
      <c r="AH402">
        <v>1</v>
      </c>
      <c r="AI402" s="6">
        <f>AH402/AH404</f>
        <v>1.6949152542372881E-2</v>
      </c>
      <c r="AJ402" s="6">
        <f>1/$AJ$3</f>
        <v>4.048582995951417E-3</v>
      </c>
      <c r="AL402">
        <v>0</v>
      </c>
      <c r="AM402" s="6">
        <f>AL402/AL404</f>
        <v>0</v>
      </c>
      <c r="AN402" s="6">
        <f>0/$AN$3</f>
        <v>0</v>
      </c>
      <c r="AP402">
        <v>0</v>
      </c>
      <c r="AQ402" s="6">
        <f>AP402/AP404</f>
        <v>0</v>
      </c>
      <c r="AR402" s="6">
        <f>0/$AR$3</f>
        <v>0</v>
      </c>
      <c r="AT402">
        <v>1</v>
      </c>
      <c r="AU402" s="6">
        <f>AT402/AT404</f>
        <v>7.1428571428571425E-2</v>
      </c>
      <c r="AV402" s="6">
        <f>1/$AV$3</f>
        <v>8.0645161290322578E-3</v>
      </c>
      <c r="AX402">
        <v>1</v>
      </c>
      <c r="AY402" s="6">
        <f>AX402/AX404</f>
        <v>1.3513513513513514E-2</v>
      </c>
      <c r="AZ402" s="6">
        <f>1/$AZ$3</f>
        <v>2.3255813953488372E-3</v>
      </c>
      <c r="BB402">
        <v>1</v>
      </c>
      <c r="BC402" s="6">
        <f>BB402/BB404</f>
        <v>1.0101010101010102E-2</v>
      </c>
      <c r="BD402" s="6">
        <f>1/$BD$3</f>
        <v>2.3364485981308409E-3</v>
      </c>
      <c r="BF402">
        <v>0</v>
      </c>
      <c r="BG402" s="6">
        <f>BF402/BF404</f>
        <v>0</v>
      </c>
      <c r="BH402" s="6">
        <f>0/$BH$3</f>
        <v>0</v>
      </c>
      <c r="BJ402">
        <v>0</v>
      </c>
      <c r="BK402" s="6">
        <f>BJ402/BJ404</f>
        <v>0</v>
      </c>
      <c r="BL402" s="6">
        <f>0/$BL$3</f>
        <v>0</v>
      </c>
      <c r="BN402">
        <v>2</v>
      </c>
      <c r="BO402" s="6">
        <f>BN402/BN404</f>
        <v>2.6315789473684209E-2</v>
      </c>
      <c r="BP402" s="6">
        <f>2/$BP$3</f>
        <v>4.7281323877068557E-3</v>
      </c>
      <c r="BR402">
        <v>0</v>
      </c>
      <c r="BS402" s="6">
        <f>BR402/BR404</f>
        <v>0</v>
      </c>
      <c r="BT402" s="6">
        <f>0/$BT$3</f>
        <v>0</v>
      </c>
      <c r="BV402">
        <v>0</v>
      </c>
      <c r="BW402" s="6">
        <f>BV402/BV404</f>
        <v>0</v>
      </c>
      <c r="BX402" s="6">
        <f>0/$BX$3</f>
        <v>0</v>
      </c>
      <c r="BZ402">
        <v>1</v>
      </c>
      <c r="CA402" s="6">
        <f>BZ402/BZ404</f>
        <v>1.7543859649122806E-2</v>
      </c>
      <c r="CB402" s="6">
        <f>1/$CB$3</f>
        <v>4.464285714285714E-3</v>
      </c>
      <c r="CD402">
        <v>0</v>
      </c>
      <c r="CE402" s="6">
        <f>CD402/CD404</f>
        <v>0</v>
      </c>
      <c r="CF402" s="6">
        <f>0/$CF$3</f>
        <v>0</v>
      </c>
      <c r="CH402">
        <v>1</v>
      </c>
      <c r="CI402" s="6">
        <f>CH402/CH404</f>
        <v>1.8867924528301886E-2</v>
      </c>
      <c r="CJ402" s="6">
        <f>1/$CJ$3</f>
        <v>3.0303030303030303E-3</v>
      </c>
    </row>
    <row r="403" spans="1:88" x14ac:dyDescent="0.35">
      <c r="A403" s="1" t="s">
        <v>409</v>
      </c>
      <c r="B403">
        <v>0</v>
      </c>
      <c r="C403" s="6">
        <f>B403/B404</f>
        <v>0</v>
      </c>
      <c r="D403" s="6">
        <f>0/$D$3</f>
        <v>0</v>
      </c>
      <c r="F403">
        <v>0</v>
      </c>
      <c r="G403" s="6">
        <f>F403/F404</f>
        <v>0</v>
      </c>
      <c r="H403" s="6">
        <f>0/$H$3</f>
        <v>0</v>
      </c>
      <c r="J403">
        <v>0</v>
      </c>
      <c r="K403" s="6">
        <f>J403/J404</f>
        <v>0</v>
      </c>
      <c r="L403" s="6">
        <f>0/$L$3</f>
        <v>0</v>
      </c>
      <c r="N403">
        <v>0</v>
      </c>
      <c r="O403" s="6">
        <f>N403/N404</f>
        <v>0</v>
      </c>
      <c r="P403" s="6">
        <f>0/$P$3</f>
        <v>0</v>
      </c>
      <c r="R403">
        <v>0</v>
      </c>
      <c r="S403" s="6">
        <f>R403/R404</f>
        <v>0</v>
      </c>
      <c r="T403" s="6">
        <f>0/$T$3</f>
        <v>0</v>
      </c>
      <c r="V403">
        <v>0</v>
      </c>
      <c r="W403" s="6">
        <f>V403/V404</f>
        <v>0</v>
      </c>
      <c r="X403" s="6">
        <f>0/$X$3</f>
        <v>0</v>
      </c>
      <c r="Z403">
        <v>0</v>
      </c>
      <c r="AA403" s="6">
        <f>Z403/Z404</f>
        <v>0</v>
      </c>
      <c r="AB403" s="6">
        <f>0/$AB$3</f>
        <v>0</v>
      </c>
      <c r="AD403">
        <v>0</v>
      </c>
      <c r="AE403" s="6">
        <f>AD403/AD404</f>
        <v>0</v>
      </c>
      <c r="AF403" s="6">
        <f>0/$AF$3</f>
        <v>0</v>
      </c>
      <c r="AH403">
        <v>0</v>
      </c>
      <c r="AI403" s="6">
        <f>AH403/AH404</f>
        <v>0</v>
      </c>
      <c r="AJ403" s="6">
        <f>0/$AJ$3</f>
        <v>0</v>
      </c>
      <c r="AL403">
        <v>0</v>
      </c>
      <c r="AM403" s="6">
        <f>AL403/AL404</f>
        <v>0</v>
      </c>
      <c r="AN403" s="6">
        <f>0/$AN$3</f>
        <v>0</v>
      </c>
      <c r="AP403">
        <v>0</v>
      </c>
      <c r="AQ403" s="6">
        <f>AP403/AP404</f>
        <v>0</v>
      </c>
      <c r="AR403" s="6">
        <f>0/$AR$3</f>
        <v>0</v>
      </c>
      <c r="AT403">
        <v>0</v>
      </c>
      <c r="AU403" s="6">
        <f>AT403/AT404</f>
        <v>0</v>
      </c>
      <c r="AV403" s="6">
        <f>0/$AV$3</f>
        <v>0</v>
      </c>
      <c r="AX403">
        <v>0</v>
      </c>
      <c r="AY403" s="6">
        <f>AX403/AX404</f>
        <v>0</v>
      </c>
      <c r="AZ403" s="6">
        <f>0/$AZ$3</f>
        <v>0</v>
      </c>
      <c r="BB403">
        <v>0</v>
      </c>
      <c r="BC403" s="6">
        <f>BB403/BB404</f>
        <v>0</v>
      </c>
      <c r="BD403" s="6">
        <f>0/$BD$3</f>
        <v>0</v>
      </c>
      <c r="BF403">
        <v>0</v>
      </c>
      <c r="BG403" s="6">
        <f>BF403/BF404</f>
        <v>0</v>
      </c>
      <c r="BH403" s="6">
        <f>0/$BH$3</f>
        <v>0</v>
      </c>
      <c r="BJ403">
        <v>0</v>
      </c>
      <c r="BK403" s="6">
        <f>BJ403/BJ404</f>
        <v>0</v>
      </c>
      <c r="BL403" s="6">
        <f>0/$BL$3</f>
        <v>0</v>
      </c>
      <c r="BN403">
        <v>0</v>
      </c>
      <c r="BO403" s="6">
        <f>BN403/BN404</f>
        <v>0</v>
      </c>
      <c r="BP403" s="6">
        <f>0/$BP$3</f>
        <v>0</v>
      </c>
      <c r="BR403">
        <v>0</v>
      </c>
      <c r="BS403" s="6">
        <f>BR403/BR404</f>
        <v>0</v>
      </c>
      <c r="BT403" s="6">
        <f>0/$BT$3</f>
        <v>0</v>
      </c>
      <c r="BV403">
        <v>0</v>
      </c>
      <c r="BW403" s="6">
        <f>BV403/BV404</f>
        <v>0</v>
      </c>
      <c r="BX403" s="6">
        <f>0/$BX$3</f>
        <v>0</v>
      </c>
      <c r="BZ403">
        <v>0</v>
      </c>
      <c r="CA403" s="6">
        <f>BZ403/BZ404</f>
        <v>0</v>
      </c>
      <c r="CB403" s="6">
        <f>0/$CB$3</f>
        <v>0</v>
      </c>
      <c r="CD403">
        <v>0</v>
      </c>
      <c r="CE403" s="6">
        <f>CD403/CD404</f>
        <v>0</v>
      </c>
      <c r="CF403" s="6">
        <f>0/$CF$3</f>
        <v>0</v>
      </c>
      <c r="CH403">
        <v>0</v>
      </c>
      <c r="CI403" s="6">
        <f>CH403/CH404</f>
        <v>0</v>
      </c>
      <c r="CJ403" s="6">
        <f>0/$CJ$3</f>
        <v>0</v>
      </c>
    </row>
    <row r="404" spans="1:88" s="10" customFormat="1" x14ac:dyDescent="0.35">
      <c r="A404" s="11" t="s">
        <v>411</v>
      </c>
      <c r="B404" s="10">
        <v>215</v>
      </c>
      <c r="F404" s="10">
        <v>198</v>
      </c>
      <c r="J404" s="10">
        <v>136</v>
      </c>
      <c r="N404" s="10">
        <v>17</v>
      </c>
      <c r="R404" s="10">
        <v>136</v>
      </c>
      <c r="V404" s="10">
        <v>79</v>
      </c>
      <c r="Z404" s="10">
        <v>25</v>
      </c>
      <c r="AD404" s="10">
        <v>37</v>
      </c>
      <c r="AH404" s="10">
        <v>59</v>
      </c>
      <c r="AL404" s="10">
        <v>52</v>
      </c>
      <c r="AP404" s="10">
        <v>28</v>
      </c>
      <c r="AT404" s="10">
        <v>14</v>
      </c>
      <c r="AX404" s="10">
        <v>74</v>
      </c>
      <c r="BB404" s="10">
        <v>99</v>
      </c>
      <c r="BF404" s="10">
        <v>42</v>
      </c>
      <c r="BJ404" s="10">
        <v>85</v>
      </c>
      <c r="BN404" s="10">
        <v>76</v>
      </c>
      <c r="BR404" s="10">
        <v>54</v>
      </c>
      <c r="BV404" s="10">
        <v>52</v>
      </c>
      <c r="BZ404" s="10">
        <v>57</v>
      </c>
      <c r="CD404" s="10">
        <v>53</v>
      </c>
      <c r="CH404" s="10">
        <v>53</v>
      </c>
    </row>
    <row r="405" spans="1:88" hidden="1" x14ac:dyDescent="0.35">
      <c r="A405" s="12" t="s">
        <v>412</v>
      </c>
      <c r="B405">
        <v>0</v>
      </c>
      <c r="F405">
        <v>0</v>
      </c>
      <c r="J405">
        <v>0</v>
      </c>
      <c r="N405">
        <v>0</v>
      </c>
      <c r="R405">
        <v>0</v>
      </c>
      <c r="V405">
        <v>0</v>
      </c>
      <c r="Z405">
        <v>0</v>
      </c>
      <c r="AD405">
        <v>0</v>
      </c>
      <c r="AH405">
        <v>0</v>
      </c>
      <c r="AL405">
        <v>0</v>
      </c>
      <c r="AP405">
        <v>0</v>
      </c>
      <c r="AT405">
        <v>0</v>
      </c>
      <c r="AX405">
        <v>0</v>
      </c>
      <c r="BB405">
        <v>0</v>
      </c>
      <c r="BF405">
        <v>0</v>
      </c>
      <c r="BJ405">
        <v>0</v>
      </c>
      <c r="BN405">
        <v>0</v>
      </c>
      <c r="BR405">
        <v>0</v>
      </c>
      <c r="BV405">
        <v>0</v>
      </c>
      <c r="BZ405">
        <v>0</v>
      </c>
      <c r="CD405">
        <v>0</v>
      </c>
      <c r="CH405">
        <v>0</v>
      </c>
    </row>
    <row r="406" spans="1:88" s="13" customFormat="1" x14ac:dyDescent="0.35">
      <c r="A406" s="12" t="s">
        <v>413</v>
      </c>
      <c r="B406" s="13">
        <v>885</v>
      </c>
      <c r="F406" s="13">
        <v>713</v>
      </c>
      <c r="J406" s="13">
        <v>298</v>
      </c>
      <c r="N406" s="13">
        <v>64</v>
      </c>
      <c r="R406" s="13">
        <v>424</v>
      </c>
      <c r="V406" s="13">
        <v>461</v>
      </c>
      <c r="Z406" s="13">
        <v>88</v>
      </c>
      <c r="AD406" s="13">
        <v>161</v>
      </c>
      <c r="AH406" s="13">
        <v>188</v>
      </c>
      <c r="AL406" s="13">
        <v>180</v>
      </c>
      <c r="AP406" s="13">
        <v>158</v>
      </c>
      <c r="AT406" s="13">
        <v>110</v>
      </c>
      <c r="AX406" s="13">
        <v>356</v>
      </c>
      <c r="BB406" s="13">
        <v>329</v>
      </c>
      <c r="BF406" s="13">
        <v>200</v>
      </c>
      <c r="BJ406" s="13">
        <v>318</v>
      </c>
      <c r="BN406" s="13">
        <v>347</v>
      </c>
      <c r="BR406" s="13">
        <v>220</v>
      </c>
      <c r="BV406" s="13">
        <v>253</v>
      </c>
      <c r="BZ406" s="13">
        <v>167</v>
      </c>
      <c r="CD406" s="13">
        <v>188</v>
      </c>
      <c r="CH406" s="13">
        <v>277</v>
      </c>
    </row>
    <row r="408" spans="1:88" x14ac:dyDescent="0.35">
      <c r="AB408" s="2" t="s">
        <v>3</v>
      </c>
      <c r="AF408" s="2" t="s">
        <v>4</v>
      </c>
      <c r="AJ408" s="2" t="s">
        <v>5</v>
      </c>
      <c r="AN408" s="2" t="s">
        <v>6</v>
      </c>
      <c r="AR408" s="2" t="s">
        <v>7</v>
      </c>
      <c r="AV408" s="2" t="s">
        <v>8</v>
      </c>
      <c r="AZ408" s="2" t="s">
        <v>3</v>
      </c>
      <c r="BD408" s="2" t="s">
        <v>4</v>
      </c>
      <c r="BH408" s="2" t="s">
        <v>5</v>
      </c>
      <c r="BL408" s="2" t="s">
        <v>3</v>
      </c>
      <c r="BP408" s="2" t="s">
        <v>4</v>
      </c>
      <c r="BT408" s="2" t="s">
        <v>5</v>
      </c>
      <c r="BX408" s="2" t="s">
        <v>3</v>
      </c>
      <c r="CB408" s="2" t="s">
        <v>4</v>
      </c>
      <c r="CF408" s="2" t="s">
        <v>5</v>
      </c>
      <c r="CJ408" s="2" t="s">
        <v>6</v>
      </c>
    </row>
    <row r="409" spans="1:88" s="3" customFormat="1" x14ac:dyDescent="0.35">
      <c r="A409" s="3" t="s">
        <v>1109</v>
      </c>
      <c r="D409" s="5" t="s">
        <v>406</v>
      </c>
      <c r="H409" s="5" t="s">
        <v>406</v>
      </c>
      <c r="L409" s="5" t="s">
        <v>406</v>
      </c>
      <c r="P409" s="5" t="s">
        <v>406</v>
      </c>
      <c r="T409" s="5" t="s">
        <v>406</v>
      </c>
      <c r="X409" s="5" t="s">
        <v>406</v>
      </c>
      <c r="AB409" s="5" t="s">
        <v>406</v>
      </c>
      <c r="AF409" s="5" t="s">
        <v>406</v>
      </c>
      <c r="AJ409" s="5" t="s">
        <v>406</v>
      </c>
      <c r="AN409" s="5" t="s">
        <v>406</v>
      </c>
      <c r="AR409" s="5" t="s">
        <v>406</v>
      </c>
      <c r="AV409" s="5" t="s">
        <v>406</v>
      </c>
      <c r="AZ409" s="5" t="s">
        <v>406</v>
      </c>
      <c r="BD409" s="5" t="s">
        <v>406</v>
      </c>
      <c r="BH409" s="5" t="s">
        <v>406</v>
      </c>
      <c r="BL409" s="5" t="s">
        <v>406</v>
      </c>
      <c r="BP409" s="5" t="s">
        <v>406</v>
      </c>
      <c r="BT409" s="5" t="s">
        <v>406</v>
      </c>
      <c r="BX409" s="5" t="s">
        <v>406</v>
      </c>
      <c r="CB409" s="5" t="s">
        <v>406</v>
      </c>
      <c r="CF409" s="5" t="s">
        <v>406</v>
      </c>
      <c r="CJ409" s="5" t="s">
        <v>406</v>
      </c>
    </row>
    <row r="410" spans="1:88" x14ac:dyDescent="0.35">
      <c r="A410" s="1" t="s">
        <v>750</v>
      </c>
      <c r="B410">
        <v>38</v>
      </c>
      <c r="C410" s="6">
        <f>B410/B414</f>
        <v>0.27941176470588236</v>
      </c>
      <c r="D410" s="6">
        <f>38/$D$3</f>
        <v>3.4545454545454546E-2</v>
      </c>
      <c r="F410">
        <v>37</v>
      </c>
      <c r="G410" s="6">
        <f>F410/F414</f>
        <v>0.2890625</v>
      </c>
      <c r="H410" s="6">
        <f>37/$H$3</f>
        <v>4.0614709110867182E-2</v>
      </c>
      <c r="J410">
        <v>38</v>
      </c>
      <c r="K410" s="6">
        <f>J410/J414</f>
        <v>0.27941176470588236</v>
      </c>
      <c r="L410" s="6">
        <f>38/$L$3</f>
        <v>8.755760368663594E-2</v>
      </c>
      <c r="N410">
        <v>0</v>
      </c>
      <c r="O410" s="6">
        <v>0</v>
      </c>
      <c r="P410" s="6">
        <f>0/$P$3</f>
        <v>0</v>
      </c>
      <c r="R410">
        <v>25</v>
      </c>
      <c r="S410" s="6">
        <f>R410/R414</f>
        <v>0.26881720430107525</v>
      </c>
      <c r="T410" s="6">
        <f>25/$T$3</f>
        <v>4.4642857142857144E-2</v>
      </c>
      <c r="V410">
        <v>13</v>
      </c>
      <c r="W410" s="6">
        <f>V410/V414</f>
        <v>0.30232558139534882</v>
      </c>
      <c r="X410" s="6">
        <f>13/$X$3</f>
        <v>2.4074074074074074E-2</v>
      </c>
      <c r="Z410">
        <v>3</v>
      </c>
      <c r="AA410" s="6">
        <f>Z410/Z414</f>
        <v>0.21428571428571427</v>
      </c>
      <c r="AB410" s="6">
        <f>3/$AB$3</f>
        <v>2.6548672566371681E-2</v>
      </c>
      <c r="AD410">
        <v>7</v>
      </c>
      <c r="AE410" s="6">
        <f>AD410/AD414</f>
        <v>0.29166666666666669</v>
      </c>
      <c r="AF410" s="6">
        <f>7/$AF$3</f>
        <v>3.5353535353535352E-2</v>
      </c>
      <c r="AH410">
        <v>11</v>
      </c>
      <c r="AI410" s="6">
        <f>AH410/AH414</f>
        <v>0.29729729729729731</v>
      </c>
      <c r="AJ410" s="6">
        <f>11/$AJ$3</f>
        <v>4.4534412955465584E-2</v>
      </c>
      <c r="AL410">
        <v>10</v>
      </c>
      <c r="AM410" s="6">
        <f>AL410/AL414</f>
        <v>0.27027027027027029</v>
      </c>
      <c r="AN410" s="6">
        <f>10/$AN$3</f>
        <v>4.3103448275862072E-2</v>
      </c>
      <c r="AP410">
        <v>4</v>
      </c>
      <c r="AQ410" s="6">
        <f>AP410/AP414</f>
        <v>0.25</v>
      </c>
      <c r="AR410" s="6">
        <f>4/$AR$3</f>
        <v>2.1505376344086023E-2</v>
      </c>
      <c r="AT410">
        <v>3</v>
      </c>
      <c r="AU410" s="6">
        <f>AT410/AT414</f>
        <v>0.375</v>
      </c>
      <c r="AV410" s="6">
        <f>3/$AV$3</f>
        <v>2.4193548387096774E-2</v>
      </c>
      <c r="AX410">
        <v>18</v>
      </c>
      <c r="AY410" s="6">
        <f>AX410/AX414</f>
        <v>0.36</v>
      </c>
      <c r="AZ410" s="6">
        <f>18/$AZ$3</f>
        <v>4.1860465116279069E-2</v>
      </c>
      <c r="BB410">
        <v>11</v>
      </c>
      <c r="BC410" s="6">
        <f>BB410/BB414</f>
        <v>0.18333333333333332</v>
      </c>
      <c r="BD410" s="6">
        <f>11/$BD$3</f>
        <v>2.5700934579439252E-2</v>
      </c>
      <c r="BF410">
        <v>9</v>
      </c>
      <c r="BG410" s="6">
        <f>BF410/BF414</f>
        <v>0.34615384615384615</v>
      </c>
      <c r="BH410" s="6">
        <f>9/$BH$3</f>
        <v>3.71900826446281E-2</v>
      </c>
      <c r="BJ410">
        <v>14</v>
      </c>
      <c r="BK410" s="6">
        <f>BJ410/BJ414</f>
        <v>0.25925925925925924</v>
      </c>
      <c r="BL410" s="6">
        <f>14/$BL$3</f>
        <v>3.4739454094292806E-2</v>
      </c>
      <c r="BN410">
        <v>13</v>
      </c>
      <c r="BO410" s="6">
        <f>BN410/BN414</f>
        <v>0.24528301886792453</v>
      </c>
      <c r="BP410" s="6">
        <f>13/$BP$3</f>
        <v>3.0732860520094562E-2</v>
      </c>
      <c r="BR410">
        <v>11</v>
      </c>
      <c r="BS410" s="6">
        <f>BR410/BR414</f>
        <v>0.37931034482758619</v>
      </c>
      <c r="BT410" s="6">
        <f>11/$BT$3</f>
        <v>4.0145985401459854E-2</v>
      </c>
      <c r="BV410">
        <v>7</v>
      </c>
      <c r="BW410" s="6">
        <f>BV410/BV414</f>
        <v>0.22580645161290322</v>
      </c>
      <c r="BX410" s="6">
        <f>7/$BX$3</f>
        <v>2.2950819672131147E-2</v>
      </c>
      <c r="BZ410">
        <v>10</v>
      </c>
      <c r="CA410" s="6">
        <f>BZ410/BZ414</f>
        <v>0.25641025641025639</v>
      </c>
      <c r="CB410" s="6">
        <f>10/$CB$3</f>
        <v>4.4642857142857144E-2</v>
      </c>
      <c r="CD410">
        <v>11</v>
      </c>
      <c r="CE410" s="6">
        <f>CD410/CD414</f>
        <v>0.3235294117647059</v>
      </c>
      <c r="CF410" s="6">
        <f>11/$CF$3</f>
        <v>4.5643153526970952E-2</v>
      </c>
      <c r="CH410">
        <v>10</v>
      </c>
      <c r="CI410" s="6">
        <f>CH410/CH414</f>
        <v>0.3125</v>
      </c>
      <c r="CJ410" s="6">
        <f>10/$CJ$3</f>
        <v>3.0303030303030304E-2</v>
      </c>
    </row>
    <row r="411" spans="1:88" x14ac:dyDescent="0.35">
      <c r="A411" s="1" t="s">
        <v>751</v>
      </c>
      <c r="B411">
        <v>18</v>
      </c>
      <c r="C411" s="6">
        <f>B411/B414</f>
        <v>0.13235294117647059</v>
      </c>
      <c r="D411" s="6">
        <f>18/$D$3</f>
        <v>1.6363636363636365E-2</v>
      </c>
      <c r="F411">
        <v>16</v>
      </c>
      <c r="G411" s="6">
        <f>F411/F414</f>
        <v>0.125</v>
      </c>
      <c r="H411" s="6">
        <f>16/$H$3</f>
        <v>1.756311745334797E-2</v>
      </c>
      <c r="J411">
        <v>18</v>
      </c>
      <c r="K411" s="6">
        <f>J411/J414</f>
        <v>0.13235294117647059</v>
      </c>
      <c r="L411" s="6">
        <f>18/$L$3</f>
        <v>4.1474654377880185E-2</v>
      </c>
      <c r="N411">
        <v>0</v>
      </c>
      <c r="O411" s="6">
        <v>0</v>
      </c>
      <c r="P411" s="6">
        <f>0/$P$3</f>
        <v>0</v>
      </c>
      <c r="R411">
        <v>9</v>
      </c>
      <c r="S411" s="6">
        <f>R411/R414</f>
        <v>9.6774193548387094E-2</v>
      </c>
      <c r="T411" s="6">
        <f>9/$T$3</f>
        <v>1.607142857142857E-2</v>
      </c>
      <c r="V411">
        <v>9</v>
      </c>
      <c r="W411" s="6">
        <f>V411/V414</f>
        <v>0.20930232558139536</v>
      </c>
      <c r="X411" s="6">
        <f>9/$X$3</f>
        <v>1.6666666666666666E-2</v>
      </c>
      <c r="Z411">
        <v>5</v>
      </c>
      <c r="AA411" s="6">
        <f>Z411/Z414</f>
        <v>0.35714285714285715</v>
      </c>
      <c r="AB411" s="6">
        <f>5/$AB$3</f>
        <v>4.4247787610619468E-2</v>
      </c>
      <c r="AD411">
        <v>2</v>
      </c>
      <c r="AE411" s="6">
        <f>AD411/AD414</f>
        <v>8.3333333333333329E-2</v>
      </c>
      <c r="AF411" s="6">
        <f>2/$AF$3</f>
        <v>1.0101010101010102E-2</v>
      </c>
      <c r="AH411">
        <v>4</v>
      </c>
      <c r="AI411" s="6">
        <f>AH411/AH414</f>
        <v>0.10810810810810811</v>
      </c>
      <c r="AJ411" s="6">
        <f>4/$AJ$3</f>
        <v>1.6194331983805668E-2</v>
      </c>
      <c r="AL411">
        <v>6</v>
      </c>
      <c r="AM411" s="6">
        <f>AL411/AL414</f>
        <v>0.16216216216216217</v>
      </c>
      <c r="AN411" s="6">
        <f>6/$AN$3</f>
        <v>2.5862068965517241E-2</v>
      </c>
      <c r="AP411">
        <v>1</v>
      </c>
      <c r="AQ411" s="6">
        <f>AP411/AP414</f>
        <v>6.25E-2</v>
      </c>
      <c r="AR411" s="6">
        <f>1/$AR$3</f>
        <v>5.3763440860215058E-3</v>
      </c>
      <c r="AT411">
        <v>0</v>
      </c>
      <c r="AU411" s="6">
        <f>AT411/AT414</f>
        <v>0</v>
      </c>
      <c r="AV411" s="6">
        <f>0/$AV$3</f>
        <v>0</v>
      </c>
      <c r="AX411">
        <v>6</v>
      </c>
      <c r="AY411" s="6">
        <f>AX411/AX414</f>
        <v>0.12</v>
      </c>
      <c r="AZ411" s="6">
        <f>6/$AZ$3</f>
        <v>1.3953488372093023E-2</v>
      </c>
      <c r="BB411">
        <v>7</v>
      </c>
      <c r="BC411" s="6">
        <f>BB411/BB414</f>
        <v>0.11666666666666667</v>
      </c>
      <c r="BD411" s="6">
        <f>7/$BD$3</f>
        <v>1.6355140186915886E-2</v>
      </c>
      <c r="BF411">
        <v>5</v>
      </c>
      <c r="BG411" s="6">
        <f>BF411/BF414</f>
        <v>0.19230769230769232</v>
      </c>
      <c r="BH411" s="6">
        <f>5/$BH$3</f>
        <v>2.0661157024793389E-2</v>
      </c>
      <c r="BJ411">
        <v>5</v>
      </c>
      <c r="BK411" s="6">
        <f>BJ411/BJ414</f>
        <v>9.2592592592592587E-2</v>
      </c>
      <c r="BL411" s="6">
        <f>5/$BL$3</f>
        <v>1.2406947890818859E-2</v>
      </c>
      <c r="BN411">
        <v>11</v>
      </c>
      <c r="BO411" s="6">
        <f>BN411/BN414</f>
        <v>0.20754716981132076</v>
      </c>
      <c r="BP411" s="6">
        <f>11/$BP$3</f>
        <v>2.6004728132387706E-2</v>
      </c>
      <c r="BR411">
        <v>2</v>
      </c>
      <c r="BS411" s="6">
        <f>BR411/BR414</f>
        <v>6.8965517241379309E-2</v>
      </c>
      <c r="BT411" s="6">
        <f>2/$BT$3</f>
        <v>7.2992700729927005E-3</v>
      </c>
      <c r="BV411">
        <v>8</v>
      </c>
      <c r="BW411" s="6">
        <f>BV411/BV414</f>
        <v>0.25806451612903225</v>
      </c>
      <c r="BX411" s="6">
        <f>8/$BX$3</f>
        <v>2.6229508196721311E-2</v>
      </c>
      <c r="BZ411">
        <v>6</v>
      </c>
      <c r="CA411" s="6">
        <f>BZ411/BZ414</f>
        <v>0.15384615384615385</v>
      </c>
      <c r="CB411" s="6">
        <f>6/$CB$3</f>
        <v>2.6785714285714284E-2</v>
      </c>
      <c r="CD411">
        <v>3</v>
      </c>
      <c r="CE411" s="6">
        <f>CD411/CD414</f>
        <v>8.8235294117647065E-2</v>
      </c>
      <c r="CF411" s="6">
        <f>3/$CF$3</f>
        <v>1.2448132780082987E-2</v>
      </c>
      <c r="CH411">
        <v>1</v>
      </c>
      <c r="CI411" s="6">
        <f>CH411/CH414</f>
        <v>3.125E-2</v>
      </c>
      <c r="CJ411" s="6">
        <f>1/$CJ$3</f>
        <v>3.0303030303030303E-3</v>
      </c>
    </row>
    <row r="412" spans="1:88" x14ac:dyDescent="0.35">
      <c r="A412" s="1" t="s">
        <v>752</v>
      </c>
      <c r="B412">
        <v>80</v>
      </c>
      <c r="C412" s="6">
        <f>B412/B414</f>
        <v>0.58823529411764708</v>
      </c>
      <c r="D412" s="6">
        <f>80/$D$3</f>
        <v>7.2727272727272724E-2</v>
      </c>
      <c r="F412">
        <v>75</v>
      </c>
      <c r="G412" s="6">
        <f>F412/F414</f>
        <v>0.5859375</v>
      </c>
      <c r="H412" s="6">
        <f>75/$H$3</f>
        <v>8.232711306256861E-2</v>
      </c>
      <c r="J412">
        <v>80</v>
      </c>
      <c r="K412" s="6">
        <f>J412/J414</f>
        <v>0.58823529411764708</v>
      </c>
      <c r="L412" s="6">
        <f>80/$L$3</f>
        <v>0.18433179723502305</v>
      </c>
      <c r="N412">
        <v>0</v>
      </c>
      <c r="O412" s="6">
        <v>0</v>
      </c>
      <c r="P412" s="8">
        <f>0/$P$3</f>
        <v>0</v>
      </c>
      <c r="R412">
        <v>59</v>
      </c>
      <c r="S412" s="6">
        <f>R412/R414</f>
        <v>0.63440860215053763</v>
      </c>
      <c r="T412" s="6">
        <f>59/$T$3</f>
        <v>0.10535714285714286</v>
      </c>
      <c r="V412">
        <v>21</v>
      </c>
      <c r="W412" s="6">
        <f>V412/V414</f>
        <v>0.48837209302325579</v>
      </c>
      <c r="X412" s="6">
        <f>21/$X$3</f>
        <v>3.888888888888889E-2</v>
      </c>
      <c r="Z412">
        <v>6</v>
      </c>
      <c r="AA412" s="6">
        <f>Z412/Z414</f>
        <v>0.42857142857142855</v>
      </c>
      <c r="AB412" s="6">
        <f>6/$AB$3</f>
        <v>5.3097345132743362E-2</v>
      </c>
      <c r="AD412">
        <v>15</v>
      </c>
      <c r="AE412" s="6">
        <f>AD412/AD414</f>
        <v>0.625</v>
      </c>
      <c r="AF412" s="6">
        <f>15/$AF$3</f>
        <v>7.575757575757576E-2</v>
      </c>
      <c r="AH412">
        <v>22</v>
      </c>
      <c r="AI412" s="6">
        <f>AH412/AH414</f>
        <v>0.59459459459459463</v>
      </c>
      <c r="AJ412" s="6">
        <f>22/$AJ$3</f>
        <v>8.9068825910931168E-2</v>
      </c>
      <c r="AL412">
        <v>21</v>
      </c>
      <c r="AM412" s="6">
        <f>AL412/AL414</f>
        <v>0.56756756756756754</v>
      </c>
      <c r="AN412" s="6">
        <f>21/$AN$3</f>
        <v>9.0517241379310345E-2</v>
      </c>
      <c r="AP412">
        <v>11</v>
      </c>
      <c r="AQ412" s="6">
        <f>AP412/AP414</f>
        <v>0.6875</v>
      </c>
      <c r="AR412" s="6">
        <f>11/$AR$3</f>
        <v>5.9139784946236562E-2</v>
      </c>
      <c r="AT412">
        <v>5</v>
      </c>
      <c r="AU412" s="6">
        <f>AT412/AT414</f>
        <v>0.625</v>
      </c>
      <c r="AV412" s="6">
        <f>5/$AV$3</f>
        <v>4.0322580645161289E-2</v>
      </c>
      <c r="AX412">
        <v>26</v>
      </c>
      <c r="AY412" s="6">
        <f>AX412/AX414</f>
        <v>0.52</v>
      </c>
      <c r="AZ412" s="6">
        <f>26/$AZ$3</f>
        <v>6.0465116279069767E-2</v>
      </c>
      <c r="BB412">
        <v>42</v>
      </c>
      <c r="BC412" s="6">
        <f>BB412/BB414</f>
        <v>0.7</v>
      </c>
      <c r="BD412" s="6">
        <f>42/$BD$3</f>
        <v>9.8130841121495324E-2</v>
      </c>
      <c r="BF412">
        <v>12</v>
      </c>
      <c r="BG412" s="6">
        <f>BF412/BF414</f>
        <v>0.46153846153846156</v>
      </c>
      <c r="BH412" s="6">
        <f>12/$BH$3</f>
        <v>4.9586776859504134E-2</v>
      </c>
      <c r="BJ412">
        <v>35</v>
      </c>
      <c r="BK412" s="6">
        <f>BJ412/BJ414</f>
        <v>0.64814814814814814</v>
      </c>
      <c r="BL412" s="6">
        <f>35/$BL$3</f>
        <v>8.6848635235732011E-2</v>
      </c>
      <c r="BN412">
        <v>29</v>
      </c>
      <c r="BO412" s="6">
        <f>BN412/BN414</f>
        <v>0.54716981132075471</v>
      </c>
      <c r="BP412" s="6">
        <f>29/$BP$3</f>
        <v>6.8557919621749411E-2</v>
      </c>
      <c r="BR412">
        <v>16</v>
      </c>
      <c r="BS412" s="6">
        <f>BR412/BR414</f>
        <v>0.55172413793103448</v>
      </c>
      <c r="BT412" s="6">
        <f>16/$BT$3</f>
        <v>5.8394160583941604E-2</v>
      </c>
      <c r="BV412">
        <v>16</v>
      </c>
      <c r="BW412" s="6">
        <f>BV412/BV414</f>
        <v>0.5161290322580645</v>
      </c>
      <c r="BX412" s="6">
        <f>16/$BX$3</f>
        <v>5.2459016393442623E-2</v>
      </c>
      <c r="BZ412">
        <v>23</v>
      </c>
      <c r="CA412" s="6">
        <f>BZ412/BZ414</f>
        <v>0.58974358974358976</v>
      </c>
      <c r="CB412" s="6">
        <f>23/$CB$3</f>
        <v>0.10267857142857142</v>
      </c>
      <c r="CD412">
        <v>20</v>
      </c>
      <c r="CE412" s="6">
        <f>CD412/CD414</f>
        <v>0.58823529411764708</v>
      </c>
      <c r="CF412" s="6">
        <f>20/$CF$3</f>
        <v>8.2987551867219914E-2</v>
      </c>
      <c r="CH412">
        <v>21</v>
      </c>
      <c r="CI412" s="6">
        <f>CH412/CH414</f>
        <v>0.65625</v>
      </c>
      <c r="CJ412" s="6">
        <f>21/$CJ$3</f>
        <v>6.363636363636363E-2</v>
      </c>
    </row>
    <row r="413" spans="1:88" x14ac:dyDescent="0.35">
      <c r="A413" s="1" t="s">
        <v>409</v>
      </c>
      <c r="B413">
        <v>0</v>
      </c>
      <c r="C413" s="6">
        <f>B413/B414</f>
        <v>0</v>
      </c>
      <c r="D413" s="6">
        <f>0/$D$3</f>
        <v>0</v>
      </c>
      <c r="F413">
        <v>0</v>
      </c>
      <c r="G413" s="6">
        <f>F413/F414</f>
        <v>0</v>
      </c>
      <c r="H413" s="6">
        <f>0/$H$3</f>
        <v>0</v>
      </c>
      <c r="J413">
        <v>0</v>
      </c>
      <c r="K413" s="6">
        <f>J413/J414</f>
        <v>0</v>
      </c>
      <c r="L413" s="6">
        <f>0/$L$3</f>
        <v>0</v>
      </c>
      <c r="N413">
        <v>0</v>
      </c>
      <c r="O413" s="6">
        <v>0</v>
      </c>
      <c r="P413" s="6">
        <f>0/$P$3</f>
        <v>0</v>
      </c>
      <c r="R413">
        <v>0</v>
      </c>
      <c r="S413" s="6">
        <f>R413/R414</f>
        <v>0</v>
      </c>
      <c r="T413" s="6">
        <f>0/$T$3</f>
        <v>0</v>
      </c>
      <c r="V413">
        <v>0</v>
      </c>
      <c r="W413" s="6">
        <f>V413/V414</f>
        <v>0</v>
      </c>
      <c r="X413" s="6">
        <f>0/$X$3</f>
        <v>0</v>
      </c>
      <c r="Z413">
        <v>0</v>
      </c>
      <c r="AA413" s="6">
        <f>Z413/Z414</f>
        <v>0</v>
      </c>
      <c r="AB413" s="6">
        <f>0/$AB$3</f>
        <v>0</v>
      </c>
      <c r="AD413">
        <v>0</v>
      </c>
      <c r="AE413" s="6">
        <f>AD413/AD414</f>
        <v>0</v>
      </c>
      <c r="AF413" s="6">
        <f>0/$AF$3</f>
        <v>0</v>
      </c>
      <c r="AH413">
        <v>0</v>
      </c>
      <c r="AI413" s="6">
        <f>AH413/AH414</f>
        <v>0</v>
      </c>
      <c r="AJ413" s="6">
        <f>0/$AJ$3</f>
        <v>0</v>
      </c>
      <c r="AL413">
        <v>0</v>
      </c>
      <c r="AM413" s="6">
        <f>AL413/AL414</f>
        <v>0</v>
      </c>
      <c r="AN413" s="6">
        <f>0/$AN$3</f>
        <v>0</v>
      </c>
      <c r="AP413">
        <v>0</v>
      </c>
      <c r="AQ413" s="6">
        <f>AP413/AP414</f>
        <v>0</v>
      </c>
      <c r="AR413" s="6">
        <f>0/$AR$3</f>
        <v>0</v>
      </c>
      <c r="AT413">
        <v>0</v>
      </c>
      <c r="AU413" s="6">
        <f>AT413/AT414</f>
        <v>0</v>
      </c>
      <c r="AV413" s="6">
        <f>0/$AV$3</f>
        <v>0</v>
      </c>
      <c r="AX413">
        <v>0</v>
      </c>
      <c r="AY413" s="6">
        <f>AX413/AX414</f>
        <v>0</v>
      </c>
      <c r="AZ413" s="6">
        <f>0/$AZ$3</f>
        <v>0</v>
      </c>
      <c r="BB413">
        <v>0</v>
      </c>
      <c r="BC413" s="6">
        <f>BB413/BB414</f>
        <v>0</v>
      </c>
      <c r="BD413" s="6">
        <f>0/$BD$3</f>
        <v>0</v>
      </c>
      <c r="BF413">
        <v>0</v>
      </c>
      <c r="BG413" s="6">
        <f>BF413/BF414</f>
        <v>0</v>
      </c>
      <c r="BH413" s="6">
        <f>0/$BH$3</f>
        <v>0</v>
      </c>
      <c r="BJ413">
        <v>0</v>
      </c>
      <c r="BK413" s="6">
        <f>BJ413/BJ414</f>
        <v>0</v>
      </c>
      <c r="BL413" s="6">
        <f>0/$BL$3</f>
        <v>0</v>
      </c>
      <c r="BN413">
        <v>0</v>
      </c>
      <c r="BO413" s="6">
        <f>BN413/BN414</f>
        <v>0</v>
      </c>
      <c r="BP413" s="6">
        <f>0/$BP$3</f>
        <v>0</v>
      </c>
      <c r="BR413">
        <v>0</v>
      </c>
      <c r="BS413" s="6">
        <f>BR413/BR414</f>
        <v>0</v>
      </c>
      <c r="BT413" s="6">
        <f>0/$BT$3</f>
        <v>0</v>
      </c>
      <c r="BV413">
        <v>0</v>
      </c>
      <c r="BW413" s="6">
        <f>BV413/BV414</f>
        <v>0</v>
      </c>
      <c r="BX413" s="6">
        <f>0/$BX$3</f>
        <v>0</v>
      </c>
      <c r="BZ413">
        <v>0</v>
      </c>
      <c r="CA413" s="6">
        <f>BZ413/BZ414</f>
        <v>0</v>
      </c>
      <c r="CB413" s="6">
        <f>0/$CB$3</f>
        <v>0</v>
      </c>
      <c r="CD413">
        <v>0</v>
      </c>
      <c r="CE413" s="6">
        <f>CD413/CD414</f>
        <v>0</v>
      </c>
      <c r="CF413" s="6">
        <f>0/$CF$3</f>
        <v>0</v>
      </c>
      <c r="CH413">
        <v>0</v>
      </c>
      <c r="CI413" s="6">
        <f>CH413/CH414</f>
        <v>0</v>
      </c>
      <c r="CJ413" s="6">
        <f>0/$CJ$3</f>
        <v>0</v>
      </c>
    </row>
    <row r="414" spans="1:88" s="10" customFormat="1" x14ac:dyDescent="0.35">
      <c r="A414" s="11" t="s">
        <v>411</v>
      </c>
      <c r="B414" s="10">
        <v>136</v>
      </c>
      <c r="F414" s="10">
        <v>128</v>
      </c>
      <c r="J414" s="10">
        <v>136</v>
      </c>
      <c r="N414" s="10">
        <v>0</v>
      </c>
      <c r="R414" s="10">
        <v>93</v>
      </c>
      <c r="V414" s="10">
        <v>43</v>
      </c>
      <c r="Z414" s="10">
        <v>14</v>
      </c>
      <c r="AD414" s="10">
        <v>24</v>
      </c>
      <c r="AH414" s="10">
        <v>37</v>
      </c>
      <c r="AL414" s="10">
        <v>37</v>
      </c>
      <c r="AP414" s="10">
        <v>16</v>
      </c>
      <c r="AT414" s="10">
        <v>8</v>
      </c>
      <c r="AX414" s="10">
        <v>50</v>
      </c>
      <c r="BB414" s="10">
        <v>60</v>
      </c>
      <c r="BF414" s="10">
        <v>26</v>
      </c>
      <c r="BJ414" s="10">
        <v>54</v>
      </c>
      <c r="BN414" s="10">
        <v>53</v>
      </c>
      <c r="BR414" s="10">
        <v>29</v>
      </c>
      <c r="BV414" s="10">
        <v>31</v>
      </c>
      <c r="BZ414" s="10">
        <v>39</v>
      </c>
      <c r="CD414" s="10">
        <v>34</v>
      </c>
      <c r="CH414" s="10">
        <v>32</v>
      </c>
    </row>
    <row r="415" spans="1:88" hidden="1" x14ac:dyDescent="0.35">
      <c r="A415" s="12" t="s">
        <v>412</v>
      </c>
      <c r="B415">
        <v>0</v>
      </c>
      <c r="F415">
        <v>0</v>
      </c>
      <c r="J415">
        <v>0</v>
      </c>
      <c r="N415">
        <v>0</v>
      </c>
      <c r="R415">
        <v>0</v>
      </c>
      <c r="V415">
        <v>0</v>
      </c>
      <c r="Z415">
        <v>0</v>
      </c>
      <c r="AD415">
        <v>0</v>
      </c>
      <c r="AH415">
        <v>0</v>
      </c>
      <c r="AL415">
        <v>0</v>
      </c>
      <c r="AP415">
        <v>0</v>
      </c>
      <c r="AT415">
        <v>0</v>
      </c>
      <c r="AX415">
        <v>0</v>
      </c>
      <c r="BB415">
        <v>0</v>
      </c>
      <c r="BF415">
        <v>0</v>
      </c>
      <c r="BJ415">
        <v>0</v>
      </c>
      <c r="BN415">
        <v>0</v>
      </c>
      <c r="BR415">
        <v>0</v>
      </c>
      <c r="BV415">
        <v>0</v>
      </c>
      <c r="BZ415">
        <v>0</v>
      </c>
      <c r="CD415">
        <v>0</v>
      </c>
      <c r="CH415">
        <v>0</v>
      </c>
    </row>
    <row r="416" spans="1:88" s="13" customFormat="1" x14ac:dyDescent="0.35">
      <c r="A416" s="12" t="s">
        <v>413</v>
      </c>
      <c r="B416" s="13">
        <v>964</v>
      </c>
      <c r="F416" s="13">
        <v>783</v>
      </c>
      <c r="J416" s="13">
        <v>298</v>
      </c>
      <c r="N416" s="13">
        <v>81</v>
      </c>
      <c r="R416" s="13">
        <v>467</v>
      </c>
      <c r="V416" s="13">
        <v>497</v>
      </c>
      <c r="Z416" s="13">
        <v>99</v>
      </c>
      <c r="AD416" s="13">
        <v>174</v>
      </c>
      <c r="AH416" s="13">
        <v>210</v>
      </c>
      <c r="AL416" s="13">
        <v>195</v>
      </c>
      <c r="AP416" s="13">
        <v>170</v>
      </c>
      <c r="AT416" s="13">
        <v>116</v>
      </c>
      <c r="AX416" s="13">
        <v>380</v>
      </c>
      <c r="BB416" s="13">
        <v>368</v>
      </c>
      <c r="BF416" s="13">
        <v>216</v>
      </c>
      <c r="BJ416" s="13">
        <v>349</v>
      </c>
      <c r="BN416" s="13">
        <v>370</v>
      </c>
      <c r="BR416" s="13">
        <v>245</v>
      </c>
      <c r="BV416" s="13">
        <v>274</v>
      </c>
      <c r="BZ416" s="13">
        <v>185</v>
      </c>
      <c r="CD416" s="13">
        <v>207</v>
      </c>
      <c r="CH416" s="13">
        <v>298</v>
      </c>
    </row>
    <row r="418" spans="1:88" x14ac:dyDescent="0.35">
      <c r="AB418" s="2" t="s">
        <v>3</v>
      </c>
      <c r="AF418" s="2" t="s">
        <v>4</v>
      </c>
      <c r="AJ418" s="2" t="s">
        <v>5</v>
      </c>
      <c r="AN418" s="2" t="s">
        <v>6</v>
      </c>
      <c r="AR418" s="2" t="s">
        <v>7</v>
      </c>
      <c r="AV418" s="2" t="s">
        <v>8</v>
      </c>
      <c r="AZ418" s="2" t="s">
        <v>3</v>
      </c>
      <c r="BD418" s="2" t="s">
        <v>4</v>
      </c>
      <c r="BH418" s="2" t="s">
        <v>5</v>
      </c>
      <c r="BL418" s="2" t="s">
        <v>3</v>
      </c>
      <c r="BP418" s="2" t="s">
        <v>4</v>
      </c>
      <c r="BT418" s="2" t="s">
        <v>5</v>
      </c>
      <c r="BX418" s="2" t="s">
        <v>3</v>
      </c>
      <c r="CB418" s="2" t="s">
        <v>4</v>
      </c>
      <c r="CF418" s="2" t="s">
        <v>5</v>
      </c>
      <c r="CJ418" s="2" t="s">
        <v>6</v>
      </c>
    </row>
    <row r="419" spans="1:88" s="3" customFormat="1" x14ac:dyDescent="0.35">
      <c r="A419" s="3" t="s">
        <v>1110</v>
      </c>
      <c r="D419" s="5" t="s">
        <v>406</v>
      </c>
      <c r="H419" s="5" t="s">
        <v>406</v>
      </c>
      <c r="L419" s="5" t="s">
        <v>406</v>
      </c>
      <c r="P419" s="5" t="s">
        <v>406</v>
      </c>
      <c r="T419" s="5" t="s">
        <v>406</v>
      </c>
      <c r="X419" s="5" t="s">
        <v>406</v>
      </c>
      <c r="AB419" s="5" t="s">
        <v>406</v>
      </c>
      <c r="AF419" s="5" t="s">
        <v>406</v>
      </c>
      <c r="AJ419" s="5" t="s">
        <v>406</v>
      </c>
      <c r="AN419" s="5" t="s">
        <v>406</v>
      </c>
      <c r="AR419" s="5" t="s">
        <v>406</v>
      </c>
      <c r="AV419" s="5" t="s">
        <v>406</v>
      </c>
      <c r="AZ419" s="5" t="s">
        <v>406</v>
      </c>
      <c r="BD419" s="5" t="s">
        <v>406</v>
      </c>
      <c r="BH419" s="5" t="s">
        <v>406</v>
      </c>
      <c r="BL419" s="5" t="s">
        <v>406</v>
      </c>
      <c r="BP419" s="5" t="s">
        <v>406</v>
      </c>
      <c r="BT419" s="5" t="s">
        <v>406</v>
      </c>
      <c r="BX419" s="5" t="s">
        <v>406</v>
      </c>
      <c r="CB419" s="5" t="s">
        <v>406</v>
      </c>
      <c r="CF419" s="5" t="s">
        <v>406</v>
      </c>
      <c r="CJ419" s="5" t="s">
        <v>406</v>
      </c>
    </row>
    <row r="420" spans="1:88" x14ac:dyDescent="0.35">
      <c r="A420" s="1" t="s">
        <v>626</v>
      </c>
      <c r="B420">
        <v>972</v>
      </c>
      <c r="C420" s="6">
        <f>B420/B423</f>
        <v>0.88363636363636366</v>
      </c>
      <c r="D420" s="6">
        <f>972/$D$3</f>
        <v>0.88363636363636366</v>
      </c>
      <c r="F420">
        <v>820</v>
      </c>
      <c r="G420" s="6">
        <f>F420/F423</f>
        <v>0.90010976948408339</v>
      </c>
      <c r="H420" s="6">
        <f>820/$H$3</f>
        <v>0.90010976948408339</v>
      </c>
      <c r="J420">
        <v>398</v>
      </c>
      <c r="K420" s="6">
        <f>J420/J423</f>
        <v>0.91705069124423966</v>
      </c>
      <c r="L420" s="6">
        <f>398/$L$3</f>
        <v>0.91705069124423966</v>
      </c>
      <c r="N420">
        <v>73</v>
      </c>
      <c r="O420" s="6">
        <f>N420/N423</f>
        <v>0.90123456790123457</v>
      </c>
      <c r="P420" s="6">
        <f>73/$P$3</f>
        <v>0.90123456790123457</v>
      </c>
      <c r="R420">
        <v>494</v>
      </c>
      <c r="S420" s="6">
        <f>R420/R423</f>
        <v>0.88214285714285712</v>
      </c>
      <c r="T420" s="6">
        <f>494/$T$3</f>
        <v>0.88214285714285712</v>
      </c>
      <c r="V420">
        <v>478</v>
      </c>
      <c r="W420" s="6">
        <f>V420/V423</f>
        <v>0.88518518518518519</v>
      </c>
      <c r="X420" s="6">
        <f>478/$X$3</f>
        <v>0.88518518518518519</v>
      </c>
      <c r="Z420">
        <v>101</v>
      </c>
      <c r="AA420" s="6">
        <f>Z420/Z423</f>
        <v>0.89380530973451322</v>
      </c>
      <c r="AB420" s="6">
        <f>101/$AB$3</f>
        <v>0.89380530973451322</v>
      </c>
      <c r="AD420">
        <v>173</v>
      </c>
      <c r="AE420" s="6">
        <f>AD420/AD423</f>
        <v>0.8737373737373737</v>
      </c>
      <c r="AF420" s="6">
        <f>173/$AF$3</f>
        <v>0.8737373737373737</v>
      </c>
      <c r="AH420">
        <v>223</v>
      </c>
      <c r="AI420" s="6">
        <f>AH420/AH423</f>
        <v>0.90283400809716596</v>
      </c>
      <c r="AJ420" s="6">
        <f>223/$AJ$3</f>
        <v>0.90283400809716596</v>
      </c>
      <c r="AL420">
        <v>212</v>
      </c>
      <c r="AM420" s="6">
        <f>AL420/AL423</f>
        <v>0.91379310344827591</v>
      </c>
      <c r="AN420" s="6">
        <f>212/$AN$3</f>
        <v>0.91379310344827591</v>
      </c>
      <c r="AP420">
        <v>155</v>
      </c>
      <c r="AQ420" s="6">
        <f>AP420/AP423</f>
        <v>0.83333333333333337</v>
      </c>
      <c r="AR420" s="8">
        <f>155/$AR$3</f>
        <v>0.83333333333333337</v>
      </c>
      <c r="AT420">
        <v>108</v>
      </c>
      <c r="AU420" s="6">
        <f>AT420/AT423</f>
        <v>0.87096774193548387</v>
      </c>
      <c r="AV420" s="6">
        <f>108/$AV$3</f>
        <v>0.87096774193548387</v>
      </c>
      <c r="AX420">
        <v>367</v>
      </c>
      <c r="AY420" s="6">
        <f>AX420/AX423</f>
        <v>0.85348837209302331</v>
      </c>
      <c r="AZ420" s="6">
        <f>367/$AZ$3</f>
        <v>0.85348837209302331</v>
      </c>
      <c r="BB420">
        <v>387</v>
      </c>
      <c r="BC420" s="6">
        <f>BB420/BB423</f>
        <v>0.90420560747663548</v>
      </c>
      <c r="BD420" s="6">
        <f>387/$BD$3</f>
        <v>0.90420560747663548</v>
      </c>
      <c r="BF420">
        <v>218</v>
      </c>
      <c r="BG420" s="6">
        <f>BF420/BF423</f>
        <v>0.90082644628099173</v>
      </c>
      <c r="BH420" s="6">
        <f>218/$BH$3</f>
        <v>0.90082644628099173</v>
      </c>
      <c r="BJ420">
        <v>349</v>
      </c>
      <c r="BK420" s="6">
        <f>BJ420/BJ423</f>
        <v>0.86600496277915628</v>
      </c>
      <c r="BL420" s="6">
        <f>349/$BL$3</f>
        <v>0.86600496277915628</v>
      </c>
      <c r="BN420">
        <v>372</v>
      </c>
      <c r="BO420" s="6">
        <f>BN420/BN423</f>
        <v>0.87943262411347523</v>
      </c>
      <c r="BP420" s="6">
        <f>372/$BP$3</f>
        <v>0.87943262411347523</v>
      </c>
      <c r="BR420">
        <v>251</v>
      </c>
      <c r="BS420" s="6">
        <f>BR420/BR423</f>
        <v>0.91605839416058399</v>
      </c>
      <c r="BT420" s="6">
        <f>251/$BT$3</f>
        <v>0.91605839416058399</v>
      </c>
      <c r="BV420">
        <v>268</v>
      </c>
      <c r="BW420" s="6">
        <f>BV420/BV423</f>
        <v>0.87868852459016389</v>
      </c>
      <c r="BX420" s="6">
        <f>268/$BX$3</f>
        <v>0.87868852459016389</v>
      </c>
      <c r="BZ420">
        <v>200</v>
      </c>
      <c r="CA420" s="6">
        <f>BZ420/BZ423</f>
        <v>0.8928571428571429</v>
      </c>
      <c r="CB420" s="6">
        <f>200/$CB$3</f>
        <v>0.8928571428571429</v>
      </c>
      <c r="CD420">
        <v>209</v>
      </c>
      <c r="CE420" s="6">
        <f>CD420/CD423</f>
        <v>0.86721991701244816</v>
      </c>
      <c r="CF420" s="6">
        <f>209/$CF$3</f>
        <v>0.86721991701244816</v>
      </c>
      <c r="CH420">
        <v>295</v>
      </c>
      <c r="CI420" s="6">
        <f>CH420/CH423</f>
        <v>0.89393939393939392</v>
      </c>
      <c r="CJ420" s="6">
        <f>295/$CJ$3</f>
        <v>0.89393939393939392</v>
      </c>
    </row>
    <row r="421" spans="1:88" x14ac:dyDescent="0.35">
      <c r="A421" s="1" t="s">
        <v>627</v>
      </c>
      <c r="B421">
        <v>128</v>
      </c>
      <c r="C421" s="6">
        <f>B421/B423</f>
        <v>0.11636363636363636</v>
      </c>
      <c r="D421" s="6">
        <f>128/$D$3</f>
        <v>0.11636363636363636</v>
      </c>
      <c r="F421">
        <v>91</v>
      </c>
      <c r="G421" s="6">
        <f>F421/F423</f>
        <v>9.989023051591657E-2</v>
      </c>
      <c r="H421" s="6">
        <f>91/$H$3</f>
        <v>9.989023051591657E-2</v>
      </c>
      <c r="J421">
        <v>36</v>
      </c>
      <c r="K421" s="6">
        <f>J421/J423</f>
        <v>8.294930875576037E-2</v>
      </c>
      <c r="L421" s="6">
        <f>36/$L$3</f>
        <v>8.294930875576037E-2</v>
      </c>
      <c r="N421">
        <v>8</v>
      </c>
      <c r="O421" s="6">
        <f>N421/N423</f>
        <v>9.8765432098765427E-2</v>
      </c>
      <c r="P421" s="6">
        <f>8/$P$3</f>
        <v>9.8765432098765427E-2</v>
      </c>
      <c r="R421">
        <v>66</v>
      </c>
      <c r="S421" s="6">
        <f>R421/R423</f>
        <v>0.11785714285714285</v>
      </c>
      <c r="T421" s="6">
        <f>66/$T$3</f>
        <v>0.11785714285714285</v>
      </c>
      <c r="V421">
        <v>62</v>
      </c>
      <c r="W421" s="6">
        <f>V421/V423</f>
        <v>0.11481481481481481</v>
      </c>
      <c r="X421" s="6">
        <f>62/$X$3</f>
        <v>0.11481481481481481</v>
      </c>
      <c r="Z421">
        <v>12</v>
      </c>
      <c r="AA421" s="6">
        <f>Z421/Z423</f>
        <v>0.10619469026548672</v>
      </c>
      <c r="AB421" s="6">
        <f>12/$AB$3</f>
        <v>0.10619469026548672</v>
      </c>
      <c r="AD421">
        <v>25</v>
      </c>
      <c r="AE421" s="6">
        <f>AD421/AD423</f>
        <v>0.12626262626262627</v>
      </c>
      <c r="AF421" s="6">
        <f>25/$AF$3</f>
        <v>0.12626262626262627</v>
      </c>
      <c r="AH421">
        <v>24</v>
      </c>
      <c r="AI421" s="6">
        <f>AH421/AH423</f>
        <v>9.7165991902834009E-2</v>
      </c>
      <c r="AJ421" s="6">
        <f>24/$AJ$3</f>
        <v>9.7165991902834009E-2</v>
      </c>
      <c r="AL421">
        <v>20</v>
      </c>
      <c r="AM421" s="6">
        <f>AL421/AL423</f>
        <v>8.6206896551724144E-2</v>
      </c>
      <c r="AN421" s="6">
        <f>20/$AN$3</f>
        <v>8.6206896551724144E-2</v>
      </c>
      <c r="AP421">
        <v>31</v>
      </c>
      <c r="AQ421" s="6">
        <f>AP421/AP423</f>
        <v>0.16666666666666666</v>
      </c>
      <c r="AR421" s="9">
        <f>31/$AR$3</f>
        <v>0.16666666666666666</v>
      </c>
      <c r="AT421">
        <v>16</v>
      </c>
      <c r="AU421" s="6">
        <f>AT421/AT423</f>
        <v>0.12903225806451613</v>
      </c>
      <c r="AV421" s="6">
        <f>16/$AV$3</f>
        <v>0.12903225806451613</v>
      </c>
      <c r="AX421">
        <v>63</v>
      </c>
      <c r="AY421" s="6">
        <f>AX421/AX423</f>
        <v>0.14651162790697675</v>
      </c>
      <c r="AZ421" s="6">
        <f>63/$AZ$3</f>
        <v>0.14651162790697675</v>
      </c>
      <c r="BB421">
        <v>41</v>
      </c>
      <c r="BC421" s="6">
        <f>BB421/BB423</f>
        <v>9.5794392523364483E-2</v>
      </c>
      <c r="BD421" s="6">
        <f>41/$BD$3</f>
        <v>9.5794392523364483E-2</v>
      </c>
      <c r="BF421">
        <v>24</v>
      </c>
      <c r="BG421" s="6">
        <f>BF421/BF423</f>
        <v>9.9173553719008267E-2</v>
      </c>
      <c r="BH421" s="6">
        <f>24/$BH$3</f>
        <v>9.9173553719008267E-2</v>
      </c>
      <c r="BJ421">
        <v>54</v>
      </c>
      <c r="BK421" s="6">
        <f>BJ421/BJ423</f>
        <v>0.13399503722084366</v>
      </c>
      <c r="BL421" s="6">
        <f>54/$BL$3</f>
        <v>0.13399503722084366</v>
      </c>
      <c r="BN421">
        <v>51</v>
      </c>
      <c r="BO421" s="6">
        <f>BN421/BN423</f>
        <v>0.12056737588652482</v>
      </c>
      <c r="BP421" s="6">
        <f>51/$BP$3</f>
        <v>0.12056737588652482</v>
      </c>
      <c r="BR421">
        <v>23</v>
      </c>
      <c r="BS421" s="6">
        <f>BR421/BR423</f>
        <v>8.3941605839416053E-2</v>
      </c>
      <c r="BT421" s="6">
        <f>23/$BT$3</f>
        <v>8.3941605839416053E-2</v>
      </c>
      <c r="BV421">
        <v>37</v>
      </c>
      <c r="BW421" s="6">
        <f>BV421/BV423</f>
        <v>0.12131147540983607</v>
      </c>
      <c r="BX421" s="6">
        <f>37/$BX$3</f>
        <v>0.12131147540983607</v>
      </c>
      <c r="BZ421">
        <v>24</v>
      </c>
      <c r="CA421" s="6">
        <f>BZ421/BZ423</f>
        <v>0.10714285714285714</v>
      </c>
      <c r="CB421" s="6">
        <f>24/$CB$3</f>
        <v>0.10714285714285714</v>
      </c>
      <c r="CD421">
        <v>32</v>
      </c>
      <c r="CE421" s="6">
        <f>CD421/CD423</f>
        <v>0.13278008298755187</v>
      </c>
      <c r="CF421" s="6">
        <f>32/$CF$3</f>
        <v>0.13278008298755187</v>
      </c>
      <c r="CH421">
        <v>35</v>
      </c>
      <c r="CI421" s="6">
        <f>CH421/CH423</f>
        <v>0.10606060606060606</v>
      </c>
      <c r="CJ421" s="6">
        <f>35/$CJ$3</f>
        <v>0.10606060606060606</v>
      </c>
    </row>
    <row r="422" spans="1:88" x14ac:dyDescent="0.35">
      <c r="A422" s="1" t="s">
        <v>409</v>
      </c>
      <c r="B422">
        <v>0</v>
      </c>
      <c r="C422" s="6">
        <f>B422/B423</f>
        <v>0</v>
      </c>
      <c r="D422" s="6">
        <f>0/$D$3</f>
        <v>0</v>
      </c>
      <c r="F422">
        <v>0</v>
      </c>
      <c r="G422" s="6">
        <f>F422/F423</f>
        <v>0</v>
      </c>
      <c r="H422" s="6">
        <f>0/$H$3</f>
        <v>0</v>
      </c>
      <c r="J422">
        <v>0</v>
      </c>
      <c r="K422" s="6">
        <f>J422/J423</f>
        <v>0</v>
      </c>
      <c r="L422" s="6">
        <f>0/$L$3</f>
        <v>0</v>
      </c>
      <c r="N422">
        <v>0</v>
      </c>
      <c r="O422" s="6">
        <f>N422/N423</f>
        <v>0</v>
      </c>
      <c r="P422" s="6">
        <f>0/$P$3</f>
        <v>0</v>
      </c>
      <c r="R422">
        <v>0</v>
      </c>
      <c r="S422" s="6">
        <f>R422/R423</f>
        <v>0</v>
      </c>
      <c r="T422" s="6">
        <f>0/$T$3</f>
        <v>0</v>
      </c>
      <c r="V422">
        <v>0</v>
      </c>
      <c r="W422" s="6">
        <f>V422/V423</f>
        <v>0</v>
      </c>
      <c r="X422" s="6">
        <f>0/$X$3</f>
        <v>0</v>
      </c>
      <c r="Z422">
        <v>0</v>
      </c>
      <c r="AA422" s="6">
        <f>Z422/Z423</f>
        <v>0</v>
      </c>
      <c r="AB422" s="6">
        <f>0/$AB$3</f>
        <v>0</v>
      </c>
      <c r="AD422">
        <v>0</v>
      </c>
      <c r="AE422" s="6">
        <f>AD422/AD423</f>
        <v>0</v>
      </c>
      <c r="AF422" s="6">
        <f>0/$AF$3</f>
        <v>0</v>
      </c>
      <c r="AH422">
        <v>0</v>
      </c>
      <c r="AI422" s="6">
        <f>AH422/AH423</f>
        <v>0</v>
      </c>
      <c r="AJ422" s="6">
        <f>0/$AJ$3</f>
        <v>0</v>
      </c>
      <c r="AL422">
        <v>0</v>
      </c>
      <c r="AM422" s="6">
        <f>AL422/AL423</f>
        <v>0</v>
      </c>
      <c r="AN422" s="6">
        <f>0/$AN$3</f>
        <v>0</v>
      </c>
      <c r="AP422">
        <v>0</v>
      </c>
      <c r="AQ422" s="6">
        <f>AP422/AP423</f>
        <v>0</v>
      </c>
      <c r="AR422" s="6">
        <f>0/$AR$3</f>
        <v>0</v>
      </c>
      <c r="AT422">
        <v>0</v>
      </c>
      <c r="AU422" s="6">
        <f>AT422/AT423</f>
        <v>0</v>
      </c>
      <c r="AV422" s="6">
        <f>0/$AV$3</f>
        <v>0</v>
      </c>
      <c r="AX422">
        <v>0</v>
      </c>
      <c r="AY422" s="6">
        <f>AX422/AX423</f>
        <v>0</v>
      </c>
      <c r="AZ422" s="6">
        <f>0/$AZ$3</f>
        <v>0</v>
      </c>
      <c r="BB422">
        <v>0</v>
      </c>
      <c r="BC422" s="6">
        <f>BB422/BB423</f>
        <v>0</v>
      </c>
      <c r="BD422" s="6">
        <f>0/$BD$3</f>
        <v>0</v>
      </c>
      <c r="BF422">
        <v>0</v>
      </c>
      <c r="BG422" s="6">
        <f>BF422/BF423</f>
        <v>0</v>
      </c>
      <c r="BH422" s="6">
        <f>0/$BH$3</f>
        <v>0</v>
      </c>
      <c r="BJ422">
        <v>0</v>
      </c>
      <c r="BK422" s="6">
        <f>BJ422/BJ423</f>
        <v>0</v>
      </c>
      <c r="BL422" s="6">
        <f>0/$BL$3</f>
        <v>0</v>
      </c>
      <c r="BN422">
        <v>0</v>
      </c>
      <c r="BO422" s="6">
        <f>BN422/BN423</f>
        <v>0</v>
      </c>
      <c r="BP422" s="6">
        <f>0/$BP$3</f>
        <v>0</v>
      </c>
      <c r="BR422">
        <v>0</v>
      </c>
      <c r="BS422" s="6">
        <f>BR422/BR423</f>
        <v>0</v>
      </c>
      <c r="BT422" s="6">
        <f>0/$BT$3</f>
        <v>0</v>
      </c>
      <c r="BV422">
        <v>0</v>
      </c>
      <c r="BW422" s="6">
        <f>BV422/BV423</f>
        <v>0</v>
      </c>
      <c r="BX422" s="6">
        <f>0/$BX$3</f>
        <v>0</v>
      </c>
      <c r="BZ422">
        <v>0</v>
      </c>
      <c r="CA422" s="6">
        <f>BZ422/BZ423</f>
        <v>0</v>
      </c>
      <c r="CB422" s="6">
        <f>0/$CB$3</f>
        <v>0</v>
      </c>
      <c r="CD422">
        <v>0</v>
      </c>
      <c r="CE422" s="6">
        <f>CD422/CD423</f>
        <v>0</v>
      </c>
      <c r="CF422" s="6">
        <f>0/$CF$3</f>
        <v>0</v>
      </c>
      <c r="CH422">
        <v>0</v>
      </c>
      <c r="CI422" s="6">
        <f>CH422/CH423</f>
        <v>0</v>
      </c>
      <c r="CJ422" s="6">
        <f>0/$CJ$3</f>
        <v>0</v>
      </c>
    </row>
    <row r="423" spans="1:88" s="10" customFormat="1" x14ac:dyDescent="0.35">
      <c r="A423" s="11" t="s">
        <v>411</v>
      </c>
      <c r="B423" s="10">
        <v>1100</v>
      </c>
      <c r="F423" s="10">
        <v>911</v>
      </c>
      <c r="J423" s="10">
        <v>434</v>
      </c>
      <c r="N423" s="10">
        <v>81</v>
      </c>
      <c r="R423" s="10">
        <v>560</v>
      </c>
      <c r="V423" s="10">
        <v>540</v>
      </c>
      <c r="Z423" s="10">
        <v>113</v>
      </c>
      <c r="AD423" s="10">
        <v>198</v>
      </c>
      <c r="AH423" s="10">
        <v>247</v>
      </c>
      <c r="AL423" s="10">
        <v>232</v>
      </c>
      <c r="AP423" s="10">
        <v>186</v>
      </c>
      <c r="AT423" s="10">
        <v>124</v>
      </c>
      <c r="AX423" s="10">
        <v>430</v>
      </c>
      <c r="BB423" s="10">
        <v>428</v>
      </c>
      <c r="BF423" s="10">
        <v>242</v>
      </c>
      <c r="BJ423" s="10">
        <v>403</v>
      </c>
      <c r="BN423" s="10">
        <v>423</v>
      </c>
      <c r="BR423" s="10">
        <v>274</v>
      </c>
      <c r="BV423" s="10">
        <v>305</v>
      </c>
      <c r="BZ423" s="10">
        <v>224</v>
      </c>
      <c r="CD423" s="10">
        <v>241</v>
      </c>
      <c r="CH423" s="10">
        <v>330</v>
      </c>
    </row>
    <row r="424" spans="1:88" hidden="1" x14ac:dyDescent="0.35">
      <c r="A424" s="12" t="s">
        <v>412</v>
      </c>
      <c r="B424">
        <v>0</v>
      </c>
      <c r="F424">
        <v>0</v>
      </c>
      <c r="J424">
        <v>0</v>
      </c>
      <c r="N424">
        <v>0</v>
      </c>
      <c r="R424">
        <v>0</v>
      </c>
      <c r="V424">
        <v>0</v>
      </c>
      <c r="Z424">
        <v>0</v>
      </c>
      <c r="AD424">
        <v>0</v>
      </c>
      <c r="AH424">
        <v>0</v>
      </c>
      <c r="AL424">
        <v>0</v>
      </c>
      <c r="AP424">
        <v>0</v>
      </c>
      <c r="AT424">
        <v>0</v>
      </c>
      <c r="AX424">
        <v>0</v>
      </c>
      <c r="BB424">
        <v>0</v>
      </c>
      <c r="BF424">
        <v>0</v>
      </c>
      <c r="BJ424">
        <v>0</v>
      </c>
      <c r="BN424">
        <v>0</v>
      </c>
      <c r="BR424">
        <v>0</v>
      </c>
      <c r="BV424">
        <v>0</v>
      </c>
      <c r="BZ424">
        <v>0</v>
      </c>
      <c r="CD424">
        <v>0</v>
      </c>
      <c r="CH424">
        <v>0</v>
      </c>
    </row>
    <row r="425" spans="1:88" hidden="1" x14ac:dyDescent="0.35">
      <c r="A425" s="12" t="s">
        <v>413</v>
      </c>
      <c r="B425">
        <v>0</v>
      </c>
      <c r="F425">
        <v>0</v>
      </c>
      <c r="J425">
        <v>0</v>
      </c>
      <c r="N425">
        <v>0</v>
      </c>
      <c r="R425">
        <v>0</v>
      </c>
      <c r="V425">
        <v>0</v>
      </c>
      <c r="Z425">
        <v>0</v>
      </c>
      <c r="AD425">
        <v>0</v>
      </c>
      <c r="AH425">
        <v>0</v>
      </c>
      <c r="AL425">
        <v>0</v>
      </c>
      <c r="AP425">
        <v>0</v>
      </c>
      <c r="AT425">
        <v>0</v>
      </c>
      <c r="AX425">
        <v>0</v>
      </c>
      <c r="BB425">
        <v>0</v>
      </c>
      <c r="BF425">
        <v>0</v>
      </c>
      <c r="BJ425">
        <v>0</v>
      </c>
      <c r="BN425">
        <v>0</v>
      </c>
      <c r="BR425">
        <v>0</v>
      </c>
      <c r="BV425">
        <v>0</v>
      </c>
      <c r="BZ425">
        <v>0</v>
      </c>
      <c r="CD425">
        <v>0</v>
      </c>
      <c r="CH425">
        <v>0</v>
      </c>
    </row>
    <row r="427" spans="1:88" x14ac:dyDescent="0.35">
      <c r="AB427" s="2" t="s">
        <v>3</v>
      </c>
      <c r="AF427" s="2" t="s">
        <v>4</v>
      </c>
      <c r="AJ427" s="2" t="s">
        <v>5</v>
      </c>
      <c r="AN427" s="2" t="s">
        <v>6</v>
      </c>
      <c r="AR427" s="2" t="s">
        <v>7</v>
      </c>
      <c r="AV427" s="2" t="s">
        <v>8</v>
      </c>
      <c r="AZ427" s="2" t="s">
        <v>3</v>
      </c>
      <c r="BD427" s="2" t="s">
        <v>4</v>
      </c>
      <c r="BH427" s="2" t="s">
        <v>5</v>
      </c>
      <c r="BL427" s="2" t="s">
        <v>3</v>
      </c>
      <c r="BP427" s="2" t="s">
        <v>4</v>
      </c>
      <c r="BT427" s="2" t="s">
        <v>5</v>
      </c>
      <c r="BX427" s="2" t="s">
        <v>3</v>
      </c>
      <c r="CB427" s="2" t="s">
        <v>4</v>
      </c>
      <c r="CF427" s="2" t="s">
        <v>5</v>
      </c>
      <c r="CJ427" s="2" t="s">
        <v>6</v>
      </c>
    </row>
    <row r="428" spans="1:88" s="3" customFormat="1" x14ac:dyDescent="0.35">
      <c r="A428" s="4" t="str">
        <f>HYPERLINK("#o2tv_emo!A1","Jaký pocit ze značky **O2 TV** máte?")</f>
        <v>Jaký pocit ze značky **O2 TV** máte?</v>
      </c>
      <c r="D428" s="5" t="s">
        <v>406</v>
      </c>
      <c r="H428" s="5" t="s">
        <v>406</v>
      </c>
      <c r="L428" s="5" t="s">
        <v>406</v>
      </c>
      <c r="P428" s="5" t="s">
        <v>406</v>
      </c>
      <c r="T428" s="5" t="s">
        <v>406</v>
      </c>
      <c r="X428" s="5" t="s">
        <v>406</v>
      </c>
      <c r="AB428" s="5" t="s">
        <v>406</v>
      </c>
      <c r="AF428" s="5" t="s">
        <v>406</v>
      </c>
      <c r="AJ428" s="5" t="s">
        <v>406</v>
      </c>
      <c r="AN428" s="5" t="s">
        <v>406</v>
      </c>
      <c r="AR428" s="5" t="s">
        <v>406</v>
      </c>
      <c r="AV428" s="5" t="s">
        <v>406</v>
      </c>
      <c r="AZ428" s="5" t="s">
        <v>406</v>
      </c>
      <c r="BD428" s="5" t="s">
        <v>406</v>
      </c>
      <c r="BH428" s="5" t="s">
        <v>406</v>
      </c>
      <c r="BL428" s="5" t="s">
        <v>406</v>
      </c>
      <c r="BP428" s="5" t="s">
        <v>406</v>
      </c>
      <c r="BT428" s="5" t="s">
        <v>406</v>
      </c>
      <c r="BX428" s="5" t="s">
        <v>406</v>
      </c>
      <c r="CB428" s="5" t="s">
        <v>406</v>
      </c>
      <c r="CF428" s="5" t="s">
        <v>406</v>
      </c>
      <c r="CJ428" s="5" t="s">
        <v>406</v>
      </c>
    </row>
    <row r="429" spans="1:88" x14ac:dyDescent="0.35">
      <c r="A429" s="1" t="s">
        <v>628</v>
      </c>
      <c r="B429">
        <v>101</v>
      </c>
      <c r="C429" s="6">
        <f>B429/B435</f>
        <v>0.10390946502057613</v>
      </c>
      <c r="D429" s="6">
        <f>101/$D$3</f>
        <v>9.1818181818181813E-2</v>
      </c>
      <c r="F429">
        <v>94</v>
      </c>
      <c r="G429" s="6">
        <f>F429/F435</f>
        <v>0.11463414634146342</v>
      </c>
      <c r="H429" s="6">
        <f>94/$H$3</f>
        <v>0.10318331503841932</v>
      </c>
      <c r="J429">
        <v>56</v>
      </c>
      <c r="K429" s="6">
        <f>J429/J435</f>
        <v>0.1407035175879397</v>
      </c>
      <c r="L429" s="6">
        <f>56/$L$3</f>
        <v>0.12903225806451613</v>
      </c>
      <c r="N429">
        <v>12</v>
      </c>
      <c r="O429" s="6">
        <f>N429/N435</f>
        <v>0.16438356164383561</v>
      </c>
      <c r="P429" s="6">
        <f>12/$P$3</f>
        <v>0.14814814814814814</v>
      </c>
      <c r="R429">
        <v>53</v>
      </c>
      <c r="S429" s="6">
        <f>R429/R435</f>
        <v>0.10728744939271255</v>
      </c>
      <c r="T429" s="6">
        <f>53/$T$3</f>
        <v>9.464285714285714E-2</v>
      </c>
      <c r="V429">
        <v>48</v>
      </c>
      <c r="W429" s="6">
        <f>V429/V435</f>
        <v>0.100418410041841</v>
      </c>
      <c r="X429" s="6">
        <f>48/$X$3</f>
        <v>8.8888888888888892E-2</v>
      </c>
      <c r="Z429">
        <v>19</v>
      </c>
      <c r="AA429" s="6">
        <f>Z429/Z435</f>
        <v>0.18811881188118812</v>
      </c>
      <c r="AB429" s="9">
        <f>19/$AB$3</f>
        <v>0.16814159292035399</v>
      </c>
      <c r="AC429" s="7"/>
      <c r="AD429">
        <v>17</v>
      </c>
      <c r="AE429" s="6">
        <f>AD429/AD435</f>
        <v>9.8265895953757232E-2</v>
      </c>
      <c r="AF429" s="6">
        <f>17/$AF$3</f>
        <v>8.5858585858585856E-2</v>
      </c>
      <c r="AH429">
        <v>26</v>
      </c>
      <c r="AI429" s="6">
        <f>AH429/AH435</f>
        <v>0.11659192825112108</v>
      </c>
      <c r="AJ429" s="6">
        <f>26/$AJ$3</f>
        <v>0.10526315789473684</v>
      </c>
      <c r="AL429">
        <v>21</v>
      </c>
      <c r="AM429" s="6">
        <f>AL429/AL435</f>
        <v>9.9056603773584911E-2</v>
      </c>
      <c r="AN429" s="6">
        <f>21/$AN$3</f>
        <v>9.0517241379310345E-2</v>
      </c>
      <c r="AP429">
        <v>12</v>
      </c>
      <c r="AQ429" s="6">
        <f>AP429/AP435</f>
        <v>7.7419354838709681E-2</v>
      </c>
      <c r="AR429" s="6">
        <f>12/$AR$3</f>
        <v>6.4516129032258063E-2</v>
      </c>
      <c r="AT429">
        <v>6</v>
      </c>
      <c r="AU429" s="6">
        <f>AT429/AT435</f>
        <v>5.5555555555555552E-2</v>
      </c>
      <c r="AV429" s="6">
        <f>6/$AV$3</f>
        <v>4.8387096774193547E-2</v>
      </c>
      <c r="AX429">
        <v>49</v>
      </c>
      <c r="AY429" s="6">
        <f>AX429/AX435</f>
        <v>0.1335149863760218</v>
      </c>
      <c r="AZ429" s="6">
        <f>49/$AZ$3</f>
        <v>0.11395348837209303</v>
      </c>
      <c r="BB429">
        <v>38</v>
      </c>
      <c r="BC429" s="6">
        <f>BB429/BB435</f>
        <v>9.8191214470284241E-2</v>
      </c>
      <c r="BD429" s="6">
        <f>38/$BD$3</f>
        <v>8.8785046728971959E-2</v>
      </c>
      <c r="BF429">
        <v>14</v>
      </c>
      <c r="BG429" s="6">
        <f>BF429/BF435</f>
        <v>6.4220183486238536E-2</v>
      </c>
      <c r="BH429" s="6">
        <f>14/$BH$3</f>
        <v>5.7851239669421489E-2</v>
      </c>
      <c r="BJ429">
        <v>40</v>
      </c>
      <c r="BK429" s="6">
        <f>BJ429/BJ435</f>
        <v>0.11461318051575932</v>
      </c>
      <c r="BL429" s="6">
        <f>40/$BL$3</f>
        <v>9.9255583126550875E-2</v>
      </c>
      <c r="BN429">
        <v>29</v>
      </c>
      <c r="BO429" s="6">
        <f>BN429/BN435</f>
        <v>7.7956989247311828E-2</v>
      </c>
      <c r="BP429" s="6">
        <f>29/$BP$3</f>
        <v>6.8557919621749411E-2</v>
      </c>
      <c r="BR429">
        <v>32</v>
      </c>
      <c r="BS429" s="6">
        <f>BR429/BR435</f>
        <v>0.12749003984063745</v>
      </c>
      <c r="BT429" s="6">
        <f>32/$BT$3</f>
        <v>0.11678832116788321</v>
      </c>
      <c r="BV429">
        <v>26</v>
      </c>
      <c r="BW429" s="6">
        <f>BV429/BV435</f>
        <v>9.7014925373134331E-2</v>
      </c>
      <c r="BX429" s="6">
        <f>26/$BX$3</f>
        <v>8.5245901639344257E-2</v>
      </c>
      <c r="BZ429">
        <v>31</v>
      </c>
      <c r="CA429" s="6">
        <f>BZ429/BZ435</f>
        <v>0.155</v>
      </c>
      <c r="CB429" s="6">
        <f>31/$CB$3</f>
        <v>0.13839285714285715</v>
      </c>
      <c r="CD429">
        <v>19</v>
      </c>
      <c r="CE429" s="6">
        <f>CD429/CD435</f>
        <v>9.0909090909090912E-2</v>
      </c>
      <c r="CF429" s="6">
        <f>19/$CF$3</f>
        <v>7.8838174273858919E-2</v>
      </c>
      <c r="CH429">
        <v>25</v>
      </c>
      <c r="CI429" s="6">
        <f>CH429/CH435</f>
        <v>8.4745762711864403E-2</v>
      </c>
      <c r="CJ429" s="6">
        <f>25/$CJ$3</f>
        <v>7.575757575757576E-2</v>
      </c>
    </row>
    <row r="430" spans="1:88" x14ac:dyDescent="0.35">
      <c r="A430" s="1" t="s">
        <v>630</v>
      </c>
      <c r="B430">
        <v>346</v>
      </c>
      <c r="C430" s="6">
        <f>B430/B435</f>
        <v>0.3559670781893004</v>
      </c>
      <c r="D430" s="6">
        <f>346/$D$3</f>
        <v>0.31454545454545457</v>
      </c>
      <c r="F430">
        <v>307</v>
      </c>
      <c r="G430" s="6">
        <f>F430/F435</f>
        <v>0.37439024390243902</v>
      </c>
      <c r="H430" s="6">
        <f>307/$H$3</f>
        <v>0.33699231613611413</v>
      </c>
      <c r="J430">
        <v>153</v>
      </c>
      <c r="K430" s="6">
        <f>J430/J435</f>
        <v>0.38442211055276382</v>
      </c>
      <c r="L430" s="6">
        <f>153/$L$3</f>
        <v>0.35253456221198154</v>
      </c>
      <c r="N430">
        <v>35</v>
      </c>
      <c r="O430" s="6">
        <f>N430/N435</f>
        <v>0.47945205479452052</v>
      </c>
      <c r="P430" s="9">
        <f>35/$P$3</f>
        <v>0.43209876543209874</v>
      </c>
      <c r="R430">
        <v>158</v>
      </c>
      <c r="S430" s="6">
        <f>R430/R435</f>
        <v>0.31983805668016196</v>
      </c>
      <c r="T430" s="6">
        <f>158/$T$3</f>
        <v>0.28214285714285714</v>
      </c>
      <c r="V430">
        <v>188</v>
      </c>
      <c r="W430" s="6">
        <f>V430/V435</f>
        <v>0.39330543933054396</v>
      </c>
      <c r="X430" s="6">
        <f>188/$X$3</f>
        <v>0.34814814814814815</v>
      </c>
      <c r="Z430">
        <v>40</v>
      </c>
      <c r="AA430" s="6">
        <f>Z430/Z435</f>
        <v>0.39603960396039606</v>
      </c>
      <c r="AB430" s="6">
        <f>40/$AB$3</f>
        <v>0.35398230088495575</v>
      </c>
      <c r="AD430">
        <v>58</v>
      </c>
      <c r="AE430" s="6">
        <f>AD430/AD435</f>
        <v>0.33526011560693642</v>
      </c>
      <c r="AF430" s="6">
        <f>58/$AF$3</f>
        <v>0.29292929292929293</v>
      </c>
      <c r="AH430">
        <v>73</v>
      </c>
      <c r="AI430" s="6">
        <f>AH430/AH435</f>
        <v>0.3273542600896861</v>
      </c>
      <c r="AJ430" s="6">
        <f>73/$AJ$3</f>
        <v>0.29554655870445345</v>
      </c>
      <c r="AL430">
        <v>78</v>
      </c>
      <c r="AM430" s="6">
        <f>AL430/AL435</f>
        <v>0.36792452830188677</v>
      </c>
      <c r="AN430" s="6">
        <f>78/$AN$3</f>
        <v>0.33620689655172414</v>
      </c>
      <c r="AP430">
        <v>59</v>
      </c>
      <c r="AQ430" s="6">
        <f>AP430/AP435</f>
        <v>0.38064516129032255</v>
      </c>
      <c r="AR430" s="6">
        <f>59/$AR$3</f>
        <v>0.31720430107526881</v>
      </c>
      <c r="AT430">
        <v>38</v>
      </c>
      <c r="AU430" s="6">
        <f>AT430/AT435</f>
        <v>0.35185185185185186</v>
      </c>
      <c r="AV430" s="6">
        <f>38/$AV$3</f>
        <v>0.30645161290322581</v>
      </c>
      <c r="AX430">
        <v>128</v>
      </c>
      <c r="AY430" s="6">
        <f>AX430/AX435</f>
        <v>0.34877384196185285</v>
      </c>
      <c r="AZ430" s="6">
        <f>128/$AZ$3</f>
        <v>0.29767441860465116</v>
      </c>
      <c r="BB430">
        <v>146</v>
      </c>
      <c r="BC430" s="6">
        <f>BB430/BB435</f>
        <v>0.37726098191214469</v>
      </c>
      <c r="BD430" s="6">
        <f>146/$BD$3</f>
        <v>0.34112149532710279</v>
      </c>
      <c r="BF430">
        <v>72</v>
      </c>
      <c r="BG430" s="6">
        <f>BF430/BF435</f>
        <v>0.33027522935779818</v>
      </c>
      <c r="BH430" s="6">
        <f>72/$BH$3</f>
        <v>0.2975206611570248</v>
      </c>
      <c r="BJ430">
        <v>127</v>
      </c>
      <c r="BK430" s="6">
        <f>BJ430/BJ435</f>
        <v>0.36389684813753581</v>
      </c>
      <c r="BL430" s="6">
        <f>127/$BL$3</f>
        <v>0.31513647642679898</v>
      </c>
      <c r="BN430">
        <v>134</v>
      </c>
      <c r="BO430" s="6">
        <f>BN430/BN435</f>
        <v>0.36021505376344087</v>
      </c>
      <c r="BP430" s="6">
        <f>134/$BP$3</f>
        <v>0.31678486997635935</v>
      </c>
      <c r="BR430">
        <v>85</v>
      </c>
      <c r="BS430" s="6">
        <f>BR430/BR435</f>
        <v>0.3386454183266932</v>
      </c>
      <c r="BT430" s="6">
        <f>85/$BT$3</f>
        <v>0.31021897810218979</v>
      </c>
      <c r="BV430">
        <v>97</v>
      </c>
      <c r="BW430" s="6">
        <f>BV430/BV435</f>
        <v>0.36194029850746268</v>
      </c>
      <c r="BX430" s="6">
        <f>97/$BX$3</f>
        <v>0.31803278688524589</v>
      </c>
      <c r="BZ430">
        <v>68</v>
      </c>
      <c r="CA430" s="6">
        <f>BZ430/BZ435</f>
        <v>0.34</v>
      </c>
      <c r="CB430" s="6">
        <f>68/$CB$3</f>
        <v>0.30357142857142855</v>
      </c>
      <c r="CD430">
        <v>83</v>
      </c>
      <c r="CE430" s="6">
        <f>CD430/CD435</f>
        <v>0.39712918660287083</v>
      </c>
      <c r="CF430" s="6">
        <f>83/$CF$3</f>
        <v>0.34439834024896265</v>
      </c>
      <c r="CH430">
        <v>98</v>
      </c>
      <c r="CI430" s="6">
        <f>CH430/CH435</f>
        <v>0.33220338983050846</v>
      </c>
      <c r="CJ430" s="6">
        <f>98/$CJ$3</f>
        <v>0.29696969696969699</v>
      </c>
    </row>
    <row r="431" spans="1:88" x14ac:dyDescent="0.35">
      <c r="A431" s="1" t="s">
        <v>637</v>
      </c>
      <c r="B431">
        <v>391</v>
      </c>
      <c r="C431" s="6">
        <f>B431/B435</f>
        <v>0.40226337448559668</v>
      </c>
      <c r="D431" s="6">
        <f>391/$D$3</f>
        <v>0.35545454545454547</v>
      </c>
      <c r="F431">
        <v>309</v>
      </c>
      <c r="G431" s="6">
        <f>F431/F435</f>
        <v>0.37682926829268293</v>
      </c>
      <c r="H431" s="6">
        <f>309/$H$3</f>
        <v>0.33918770581778268</v>
      </c>
      <c r="J431">
        <v>138</v>
      </c>
      <c r="K431" s="6">
        <f>J431/J435</f>
        <v>0.34673366834170855</v>
      </c>
      <c r="L431" s="6">
        <f>138/$L$3</f>
        <v>0.31797235023041476</v>
      </c>
      <c r="N431">
        <v>18</v>
      </c>
      <c r="O431" s="6">
        <f>N431/N435</f>
        <v>0.24657534246575341</v>
      </c>
      <c r="P431" s="8">
        <f>18/$P$3</f>
        <v>0.22222222222222221</v>
      </c>
      <c r="R431">
        <v>196</v>
      </c>
      <c r="S431" s="6">
        <f>R431/R435</f>
        <v>0.39676113360323889</v>
      </c>
      <c r="T431" s="6">
        <f>196/$T$3</f>
        <v>0.35</v>
      </c>
      <c r="V431">
        <v>195</v>
      </c>
      <c r="W431" s="6">
        <f>V431/V435</f>
        <v>0.40794979079497906</v>
      </c>
      <c r="X431" s="6">
        <f>195/$X$3</f>
        <v>0.3611111111111111</v>
      </c>
      <c r="Z431">
        <v>31</v>
      </c>
      <c r="AA431" s="6">
        <f>Z431/Z435</f>
        <v>0.30693069306930693</v>
      </c>
      <c r="AB431" s="6">
        <f>31/$AB$3</f>
        <v>0.27433628318584069</v>
      </c>
      <c r="AD431">
        <v>67</v>
      </c>
      <c r="AE431" s="6">
        <f>AD431/AD435</f>
        <v>0.38728323699421963</v>
      </c>
      <c r="AF431" s="6">
        <f>67/$AF$3</f>
        <v>0.3383838383838384</v>
      </c>
      <c r="AH431">
        <v>95</v>
      </c>
      <c r="AI431" s="6">
        <f>AH431/AH435</f>
        <v>0.42600896860986548</v>
      </c>
      <c r="AJ431" s="6">
        <f>95/$AJ$3</f>
        <v>0.38461538461538464</v>
      </c>
      <c r="AL431">
        <v>82</v>
      </c>
      <c r="AM431" s="6">
        <f>AL431/AL435</f>
        <v>0.3867924528301887</v>
      </c>
      <c r="AN431" s="6">
        <f>82/$AN$3</f>
        <v>0.35344827586206895</v>
      </c>
      <c r="AP431">
        <v>66</v>
      </c>
      <c r="AQ431" s="6">
        <f>AP431/AP435</f>
        <v>0.4258064516129032</v>
      </c>
      <c r="AR431" s="6">
        <f>66/$AR$3</f>
        <v>0.35483870967741937</v>
      </c>
      <c r="AT431">
        <v>50</v>
      </c>
      <c r="AU431" s="6">
        <f>AT431/AT435</f>
        <v>0.46296296296296297</v>
      </c>
      <c r="AV431" s="6">
        <f>50/$AV$3</f>
        <v>0.40322580645161288</v>
      </c>
      <c r="AX431">
        <v>142</v>
      </c>
      <c r="AY431" s="6">
        <f>AX431/AX435</f>
        <v>0.38692098092643051</v>
      </c>
      <c r="AZ431" s="6">
        <f>142/$AZ$3</f>
        <v>0.33023255813953489</v>
      </c>
      <c r="BB431">
        <v>153</v>
      </c>
      <c r="BC431" s="6">
        <f>BB431/BB435</f>
        <v>0.39534883720930231</v>
      </c>
      <c r="BD431" s="6">
        <f>153/$BD$3</f>
        <v>0.3574766355140187</v>
      </c>
      <c r="BF431">
        <v>96</v>
      </c>
      <c r="BG431" s="6">
        <f>BF431/BF435</f>
        <v>0.44036697247706424</v>
      </c>
      <c r="BH431" s="6">
        <f>96/$BH$3</f>
        <v>0.39669421487603307</v>
      </c>
      <c r="BJ431">
        <v>139</v>
      </c>
      <c r="BK431" s="6">
        <f>BJ431/BJ435</f>
        <v>0.39828080229226359</v>
      </c>
      <c r="BL431" s="6">
        <f>139/$BL$3</f>
        <v>0.34491315136476425</v>
      </c>
      <c r="BN431">
        <v>159</v>
      </c>
      <c r="BO431" s="6">
        <f>BN431/BN435</f>
        <v>0.42741935483870969</v>
      </c>
      <c r="BP431" s="6">
        <f>159/$BP$3</f>
        <v>0.37588652482269502</v>
      </c>
      <c r="BR431">
        <v>93</v>
      </c>
      <c r="BS431" s="6">
        <f>BR431/BR435</f>
        <v>0.37051792828685259</v>
      </c>
      <c r="BT431" s="6">
        <f>93/$BT$3</f>
        <v>0.33941605839416056</v>
      </c>
      <c r="BV431">
        <v>104</v>
      </c>
      <c r="BW431" s="6">
        <f>BV431/BV435</f>
        <v>0.38805970149253732</v>
      </c>
      <c r="BX431" s="6">
        <f>104/$BX$3</f>
        <v>0.34098360655737703</v>
      </c>
      <c r="BZ431">
        <v>74</v>
      </c>
      <c r="CA431" s="6">
        <f>BZ431/BZ435</f>
        <v>0.37</v>
      </c>
      <c r="CB431" s="6">
        <f>74/$CB$3</f>
        <v>0.33035714285714285</v>
      </c>
      <c r="CD431">
        <v>85</v>
      </c>
      <c r="CE431" s="6">
        <f>CD431/CD435</f>
        <v>0.40669856459330145</v>
      </c>
      <c r="CF431" s="6">
        <f>85/$CF$3</f>
        <v>0.35269709543568467</v>
      </c>
      <c r="CH431">
        <v>128</v>
      </c>
      <c r="CI431" s="6">
        <f>CH431/CH435</f>
        <v>0.43389830508474575</v>
      </c>
      <c r="CJ431" s="6">
        <f>128/$CJ$3</f>
        <v>0.38787878787878788</v>
      </c>
    </row>
    <row r="432" spans="1:88" x14ac:dyDescent="0.35">
      <c r="A432" s="1" t="s">
        <v>632</v>
      </c>
      <c r="B432">
        <v>86</v>
      </c>
      <c r="C432" s="6">
        <f>B432/B435</f>
        <v>8.8477366255144033E-2</v>
      </c>
      <c r="D432" s="6">
        <f>86/$D$3</f>
        <v>7.8181818181818186E-2</v>
      </c>
      <c r="F432">
        <v>72</v>
      </c>
      <c r="G432" s="6">
        <f>F432/F435</f>
        <v>8.7804878048780483E-2</v>
      </c>
      <c r="H432" s="6">
        <f>72/$H$3</f>
        <v>7.9034028540065859E-2</v>
      </c>
      <c r="J432">
        <v>30</v>
      </c>
      <c r="K432" s="6">
        <f>J432/J435</f>
        <v>7.5376884422110546E-2</v>
      </c>
      <c r="L432" s="6">
        <f>30/$L$3</f>
        <v>6.9124423963133647E-2</v>
      </c>
      <c r="N432">
        <v>7</v>
      </c>
      <c r="O432" s="6">
        <f>N432/N435</f>
        <v>9.5890410958904104E-2</v>
      </c>
      <c r="P432" s="6">
        <f>7/$P$3</f>
        <v>8.6419753086419748E-2</v>
      </c>
      <c r="R432">
        <v>56</v>
      </c>
      <c r="S432" s="6">
        <f>R432/R435</f>
        <v>0.11336032388663968</v>
      </c>
      <c r="T432" s="6">
        <f>56/$T$3</f>
        <v>0.1</v>
      </c>
      <c r="V432">
        <v>30</v>
      </c>
      <c r="W432" s="6">
        <f>V432/V435</f>
        <v>6.2761506276150625E-2</v>
      </c>
      <c r="X432" s="6">
        <f>30/$X$3</f>
        <v>5.5555555555555552E-2</v>
      </c>
      <c r="Z432">
        <v>7</v>
      </c>
      <c r="AA432" s="6">
        <f>Z432/Z435</f>
        <v>6.9306930693069313E-2</v>
      </c>
      <c r="AB432" s="6">
        <f>7/$AB$3</f>
        <v>6.1946902654867256E-2</v>
      </c>
      <c r="AD432">
        <v>22</v>
      </c>
      <c r="AE432" s="6">
        <f>AD432/AD435</f>
        <v>0.12716763005780346</v>
      </c>
      <c r="AF432" s="6">
        <f>22/$AF$3</f>
        <v>0.1111111111111111</v>
      </c>
      <c r="AH432">
        <v>21</v>
      </c>
      <c r="AI432" s="6">
        <f>AH432/AH435</f>
        <v>9.417040358744394E-2</v>
      </c>
      <c r="AJ432" s="6">
        <f>21/$AJ$3</f>
        <v>8.5020242914979755E-2</v>
      </c>
      <c r="AL432">
        <v>19</v>
      </c>
      <c r="AM432" s="6">
        <f>AL432/AL435</f>
        <v>8.9622641509433956E-2</v>
      </c>
      <c r="AN432" s="6">
        <f>19/$AN$3</f>
        <v>8.1896551724137928E-2</v>
      </c>
      <c r="AP432">
        <v>9</v>
      </c>
      <c r="AQ432" s="6">
        <f>AP432/AP435</f>
        <v>5.8064516129032261E-2</v>
      </c>
      <c r="AR432" s="6">
        <f>9/$AR$3</f>
        <v>4.8387096774193547E-2</v>
      </c>
      <c r="AT432">
        <v>8</v>
      </c>
      <c r="AU432" s="6">
        <f>AT432/AT435</f>
        <v>7.407407407407407E-2</v>
      </c>
      <c r="AV432" s="6">
        <f>8/$AV$3</f>
        <v>6.4516129032258063E-2</v>
      </c>
      <c r="AX432">
        <v>29</v>
      </c>
      <c r="AY432" s="6">
        <f>AX432/AX435</f>
        <v>7.901907356948229E-2</v>
      </c>
      <c r="AZ432" s="6">
        <f>29/$AZ$3</f>
        <v>6.7441860465116285E-2</v>
      </c>
      <c r="BB432">
        <v>33</v>
      </c>
      <c r="BC432" s="6">
        <f>BB432/BB435</f>
        <v>8.5271317829457363E-2</v>
      </c>
      <c r="BD432" s="6">
        <f>33/$BD$3</f>
        <v>7.7102803738317752E-2</v>
      </c>
      <c r="BF432">
        <v>24</v>
      </c>
      <c r="BG432" s="6">
        <f>BF432/BF435</f>
        <v>0.11009174311926606</v>
      </c>
      <c r="BH432" s="6">
        <f>24/$BH$3</f>
        <v>9.9173553719008267E-2</v>
      </c>
      <c r="BJ432">
        <v>29</v>
      </c>
      <c r="BK432" s="6">
        <f>BJ432/BJ435</f>
        <v>8.3094555873925502E-2</v>
      </c>
      <c r="BL432" s="6">
        <f>29/$BL$3</f>
        <v>7.1960297766749379E-2</v>
      </c>
      <c r="BN432">
        <v>27</v>
      </c>
      <c r="BO432" s="6">
        <f>BN432/BN435</f>
        <v>7.2580645161290328E-2</v>
      </c>
      <c r="BP432" s="6">
        <f>27/$BP$3</f>
        <v>6.3829787234042548E-2</v>
      </c>
      <c r="BR432">
        <v>30</v>
      </c>
      <c r="BS432" s="6">
        <f>BR432/BR435</f>
        <v>0.11952191235059761</v>
      </c>
      <c r="BT432" s="6">
        <f>30/$BT$3</f>
        <v>0.10948905109489052</v>
      </c>
      <c r="BV432">
        <v>27</v>
      </c>
      <c r="BW432" s="6">
        <f>BV432/BV435</f>
        <v>0.10074626865671642</v>
      </c>
      <c r="BX432" s="6">
        <f>27/$BX$3</f>
        <v>8.8524590163934422E-2</v>
      </c>
      <c r="BZ432">
        <v>21</v>
      </c>
      <c r="CA432" s="6">
        <f>BZ432/BZ435</f>
        <v>0.105</v>
      </c>
      <c r="CB432" s="6">
        <f>21/$CB$3</f>
        <v>9.375E-2</v>
      </c>
      <c r="CD432">
        <v>10</v>
      </c>
      <c r="CE432" s="6">
        <f>CD432/CD435</f>
        <v>4.784688995215311E-2</v>
      </c>
      <c r="CF432" s="6">
        <f>10/$CF$3</f>
        <v>4.1493775933609957E-2</v>
      </c>
      <c r="CH432">
        <v>28</v>
      </c>
      <c r="CI432" s="6">
        <f>CH432/CH435</f>
        <v>9.4915254237288138E-2</v>
      </c>
      <c r="CJ432" s="6">
        <f>28/$CJ$3</f>
        <v>8.4848484848484854E-2</v>
      </c>
    </row>
    <row r="433" spans="1:88" x14ac:dyDescent="0.35">
      <c r="A433" s="1" t="s">
        <v>646</v>
      </c>
      <c r="B433">
        <v>48</v>
      </c>
      <c r="C433" s="6">
        <f>B433/B435</f>
        <v>4.9382716049382713E-2</v>
      </c>
      <c r="D433" s="6">
        <f>48/$D$3</f>
        <v>4.363636363636364E-2</v>
      </c>
      <c r="F433">
        <v>38</v>
      </c>
      <c r="G433" s="6">
        <f>F433/F435</f>
        <v>4.6341463414634146E-2</v>
      </c>
      <c r="H433" s="6">
        <f>38/$H$3</f>
        <v>4.1712403951701428E-2</v>
      </c>
      <c r="J433">
        <v>21</v>
      </c>
      <c r="K433" s="6">
        <f>J433/J435</f>
        <v>5.2763819095477386E-2</v>
      </c>
      <c r="L433" s="6">
        <f>21/$L$3</f>
        <v>4.8387096774193547E-2</v>
      </c>
      <c r="N433">
        <v>1</v>
      </c>
      <c r="O433" s="6">
        <f>N433/N435</f>
        <v>1.3698630136986301E-2</v>
      </c>
      <c r="P433" s="6">
        <f>1/$P$3</f>
        <v>1.2345679012345678E-2</v>
      </c>
      <c r="R433">
        <v>31</v>
      </c>
      <c r="S433" s="6">
        <f>R433/R435</f>
        <v>6.2753036437246959E-2</v>
      </c>
      <c r="T433" s="6">
        <f>31/$T$3</f>
        <v>5.5357142857142855E-2</v>
      </c>
      <c r="V433">
        <v>17</v>
      </c>
      <c r="W433" s="6">
        <f>V433/V435</f>
        <v>3.5564853556485358E-2</v>
      </c>
      <c r="X433" s="6">
        <f>17/$X$3</f>
        <v>3.1481481481481478E-2</v>
      </c>
      <c r="Z433">
        <v>4</v>
      </c>
      <c r="AA433" s="6">
        <f>Z433/Z435</f>
        <v>3.9603960396039604E-2</v>
      </c>
      <c r="AB433" s="6">
        <f>4/$AB$3</f>
        <v>3.5398230088495575E-2</v>
      </c>
      <c r="AD433">
        <v>9</v>
      </c>
      <c r="AE433" s="6">
        <f>AD433/AD435</f>
        <v>5.2023121387283239E-2</v>
      </c>
      <c r="AF433" s="6">
        <f>9/$AF$3</f>
        <v>4.5454545454545456E-2</v>
      </c>
      <c r="AH433">
        <v>8</v>
      </c>
      <c r="AI433" s="6">
        <f>AH433/AH435</f>
        <v>3.5874439461883408E-2</v>
      </c>
      <c r="AJ433" s="6">
        <f>8/$AJ$3</f>
        <v>3.2388663967611336E-2</v>
      </c>
      <c r="AL433">
        <v>12</v>
      </c>
      <c r="AM433" s="6">
        <f>AL433/AL435</f>
        <v>5.6603773584905662E-2</v>
      </c>
      <c r="AN433" s="6">
        <f>12/$AN$3</f>
        <v>5.1724137931034482E-2</v>
      </c>
      <c r="AP433">
        <v>9</v>
      </c>
      <c r="AQ433" s="6">
        <f>AP433/AP435</f>
        <v>5.8064516129032261E-2</v>
      </c>
      <c r="AR433" s="6">
        <f>9/$AR$3</f>
        <v>4.8387096774193547E-2</v>
      </c>
      <c r="AT433">
        <v>6</v>
      </c>
      <c r="AU433" s="6">
        <f>AT433/AT435</f>
        <v>5.5555555555555552E-2</v>
      </c>
      <c r="AV433" s="6">
        <f>6/$AV$3</f>
        <v>4.8387096774193547E-2</v>
      </c>
      <c r="AX433">
        <v>19</v>
      </c>
      <c r="AY433" s="6">
        <f>AX433/AX435</f>
        <v>5.1771117166212535E-2</v>
      </c>
      <c r="AZ433" s="6">
        <f>19/$AZ$3</f>
        <v>4.4186046511627906E-2</v>
      </c>
      <c r="BB433">
        <v>17</v>
      </c>
      <c r="BC433" s="6">
        <f>BB433/BB435</f>
        <v>4.3927648578811367E-2</v>
      </c>
      <c r="BD433" s="6">
        <f>17/$BD$3</f>
        <v>3.9719626168224297E-2</v>
      </c>
      <c r="BF433">
        <v>12</v>
      </c>
      <c r="BG433" s="6">
        <f>BF433/BF435</f>
        <v>5.5045871559633031E-2</v>
      </c>
      <c r="BH433" s="6">
        <f>12/$BH$3</f>
        <v>4.9586776859504134E-2</v>
      </c>
      <c r="BJ433">
        <v>14</v>
      </c>
      <c r="BK433" s="6">
        <f>BJ433/BJ435</f>
        <v>4.0114613180515762E-2</v>
      </c>
      <c r="BL433" s="6">
        <f>14/$BL$3</f>
        <v>3.4739454094292806E-2</v>
      </c>
      <c r="BN433">
        <v>23</v>
      </c>
      <c r="BO433" s="6">
        <f>BN433/BN435</f>
        <v>6.1827956989247312E-2</v>
      </c>
      <c r="BP433" s="6">
        <f>23/$BP$3</f>
        <v>5.4373522458628844E-2</v>
      </c>
      <c r="BR433">
        <v>11</v>
      </c>
      <c r="BS433" s="6">
        <f>BR433/BR435</f>
        <v>4.3824701195219126E-2</v>
      </c>
      <c r="BT433" s="6">
        <f>11/$BT$3</f>
        <v>4.0145985401459854E-2</v>
      </c>
      <c r="BV433">
        <v>14</v>
      </c>
      <c r="BW433" s="6">
        <f>BV433/BV435</f>
        <v>5.2238805970149252E-2</v>
      </c>
      <c r="BX433" s="6">
        <f>14/$BX$3</f>
        <v>4.5901639344262293E-2</v>
      </c>
      <c r="BZ433">
        <v>6</v>
      </c>
      <c r="CA433" s="6">
        <f>BZ433/BZ435</f>
        <v>0.03</v>
      </c>
      <c r="CB433" s="6">
        <f>6/$CB$3</f>
        <v>2.6785714285714284E-2</v>
      </c>
      <c r="CD433">
        <v>12</v>
      </c>
      <c r="CE433" s="6">
        <f>CD433/CD435</f>
        <v>5.7416267942583733E-2</v>
      </c>
      <c r="CF433" s="6">
        <f>12/$CF$3</f>
        <v>4.9792531120331947E-2</v>
      </c>
      <c r="CH433">
        <v>16</v>
      </c>
      <c r="CI433" s="6">
        <f>CH433/CH435</f>
        <v>5.4237288135593219E-2</v>
      </c>
      <c r="CJ433" s="6">
        <f>16/$CJ$3</f>
        <v>4.8484848484848485E-2</v>
      </c>
    </row>
    <row r="434" spans="1:88" x14ac:dyDescent="0.35">
      <c r="A434" s="1" t="s">
        <v>409</v>
      </c>
      <c r="B434">
        <v>0</v>
      </c>
      <c r="C434" s="6">
        <f>B434/B435</f>
        <v>0</v>
      </c>
      <c r="D434" s="6">
        <f>0/$D$3</f>
        <v>0</v>
      </c>
      <c r="F434">
        <v>0</v>
      </c>
      <c r="G434" s="6">
        <f>F434/F435</f>
        <v>0</v>
      </c>
      <c r="H434" s="6">
        <f>0/$H$3</f>
        <v>0</v>
      </c>
      <c r="J434">
        <v>0</v>
      </c>
      <c r="K434" s="6">
        <f>J434/J435</f>
        <v>0</v>
      </c>
      <c r="L434" s="6">
        <f>0/$L$3</f>
        <v>0</v>
      </c>
      <c r="N434">
        <v>0</v>
      </c>
      <c r="O434" s="6">
        <f>N434/N435</f>
        <v>0</v>
      </c>
      <c r="P434" s="6">
        <f>0/$P$3</f>
        <v>0</v>
      </c>
      <c r="R434">
        <v>0</v>
      </c>
      <c r="S434" s="6">
        <f>R434/R435</f>
        <v>0</v>
      </c>
      <c r="T434" s="6">
        <f>0/$T$3</f>
        <v>0</v>
      </c>
      <c r="V434">
        <v>0</v>
      </c>
      <c r="W434" s="6">
        <f>V434/V435</f>
        <v>0</v>
      </c>
      <c r="X434" s="6">
        <f>0/$X$3</f>
        <v>0</v>
      </c>
      <c r="Z434">
        <v>0</v>
      </c>
      <c r="AA434" s="6">
        <f>Z434/Z435</f>
        <v>0</v>
      </c>
      <c r="AB434" s="6">
        <f>0/$AB$3</f>
        <v>0</v>
      </c>
      <c r="AD434">
        <v>0</v>
      </c>
      <c r="AE434" s="6">
        <f>AD434/AD435</f>
        <v>0</v>
      </c>
      <c r="AF434" s="6">
        <f>0/$AF$3</f>
        <v>0</v>
      </c>
      <c r="AH434">
        <v>0</v>
      </c>
      <c r="AI434" s="6">
        <f>AH434/AH435</f>
        <v>0</v>
      </c>
      <c r="AJ434" s="6">
        <f>0/$AJ$3</f>
        <v>0</v>
      </c>
      <c r="AL434">
        <v>0</v>
      </c>
      <c r="AM434" s="6">
        <f>AL434/AL435</f>
        <v>0</v>
      </c>
      <c r="AN434" s="6">
        <f>0/$AN$3</f>
        <v>0</v>
      </c>
      <c r="AP434">
        <v>0</v>
      </c>
      <c r="AQ434" s="6">
        <f>AP434/AP435</f>
        <v>0</v>
      </c>
      <c r="AR434" s="6">
        <f>0/$AR$3</f>
        <v>0</v>
      </c>
      <c r="AT434">
        <v>0</v>
      </c>
      <c r="AU434" s="6">
        <f>AT434/AT435</f>
        <v>0</v>
      </c>
      <c r="AV434" s="6">
        <f>0/$AV$3</f>
        <v>0</v>
      </c>
      <c r="AX434">
        <v>0</v>
      </c>
      <c r="AY434" s="6">
        <f>AX434/AX435</f>
        <v>0</v>
      </c>
      <c r="AZ434" s="6">
        <f>0/$AZ$3</f>
        <v>0</v>
      </c>
      <c r="BB434">
        <v>0</v>
      </c>
      <c r="BC434" s="6">
        <f>BB434/BB435</f>
        <v>0</v>
      </c>
      <c r="BD434" s="6">
        <f>0/$BD$3</f>
        <v>0</v>
      </c>
      <c r="BF434">
        <v>0</v>
      </c>
      <c r="BG434" s="6">
        <f>BF434/BF435</f>
        <v>0</v>
      </c>
      <c r="BH434" s="6">
        <f>0/$BH$3</f>
        <v>0</v>
      </c>
      <c r="BJ434">
        <v>0</v>
      </c>
      <c r="BK434" s="6">
        <f>BJ434/BJ435</f>
        <v>0</v>
      </c>
      <c r="BL434" s="6">
        <f>0/$BL$3</f>
        <v>0</v>
      </c>
      <c r="BN434">
        <v>0</v>
      </c>
      <c r="BO434" s="6">
        <f>BN434/BN435</f>
        <v>0</v>
      </c>
      <c r="BP434" s="6">
        <f>0/$BP$3</f>
        <v>0</v>
      </c>
      <c r="BR434">
        <v>0</v>
      </c>
      <c r="BS434" s="6">
        <f>BR434/BR435</f>
        <v>0</v>
      </c>
      <c r="BT434" s="6">
        <f>0/$BT$3</f>
        <v>0</v>
      </c>
      <c r="BV434">
        <v>0</v>
      </c>
      <c r="BW434" s="6">
        <f>BV434/BV435</f>
        <v>0</v>
      </c>
      <c r="BX434" s="6">
        <f>0/$BX$3</f>
        <v>0</v>
      </c>
      <c r="BZ434">
        <v>0</v>
      </c>
      <c r="CA434" s="6">
        <f>BZ434/BZ435</f>
        <v>0</v>
      </c>
      <c r="CB434" s="6">
        <f>0/$CB$3</f>
        <v>0</v>
      </c>
      <c r="CD434">
        <v>0</v>
      </c>
      <c r="CE434" s="6">
        <f>CD434/CD435</f>
        <v>0</v>
      </c>
      <c r="CF434" s="6">
        <f>0/$CF$3</f>
        <v>0</v>
      </c>
      <c r="CH434">
        <v>0</v>
      </c>
      <c r="CI434" s="6">
        <f>CH434/CH435</f>
        <v>0</v>
      </c>
      <c r="CJ434" s="6">
        <f>0/$CJ$3</f>
        <v>0</v>
      </c>
    </row>
    <row r="435" spans="1:88" s="10" customFormat="1" x14ac:dyDescent="0.35">
      <c r="A435" s="11" t="s">
        <v>411</v>
      </c>
      <c r="B435" s="10">
        <v>972</v>
      </c>
      <c r="F435" s="10">
        <v>820</v>
      </c>
      <c r="J435" s="10">
        <v>398</v>
      </c>
      <c r="N435" s="10">
        <v>73</v>
      </c>
      <c r="R435" s="10">
        <v>494</v>
      </c>
      <c r="V435" s="10">
        <v>478</v>
      </c>
      <c r="Z435" s="10">
        <v>101</v>
      </c>
      <c r="AD435" s="10">
        <v>173</v>
      </c>
      <c r="AH435" s="10">
        <v>223</v>
      </c>
      <c r="AL435" s="10">
        <v>212</v>
      </c>
      <c r="AP435" s="10">
        <v>155</v>
      </c>
      <c r="AT435" s="10">
        <v>108</v>
      </c>
      <c r="AX435" s="10">
        <v>367</v>
      </c>
      <c r="BB435" s="10">
        <v>387</v>
      </c>
      <c r="BF435" s="10">
        <v>218</v>
      </c>
      <c r="BJ435" s="10">
        <v>349</v>
      </c>
      <c r="BN435" s="10">
        <v>372</v>
      </c>
      <c r="BR435" s="10">
        <v>251</v>
      </c>
      <c r="BV435" s="10">
        <v>268</v>
      </c>
      <c r="BZ435" s="10">
        <v>200</v>
      </c>
      <c r="CD435" s="10">
        <v>209</v>
      </c>
      <c r="CH435" s="10">
        <v>295</v>
      </c>
    </row>
    <row r="436" spans="1:88" hidden="1" x14ac:dyDescent="0.35">
      <c r="A436" s="12" t="s">
        <v>412</v>
      </c>
      <c r="B436">
        <v>0</v>
      </c>
      <c r="F436">
        <v>0</v>
      </c>
      <c r="J436">
        <v>0</v>
      </c>
      <c r="N436">
        <v>0</v>
      </c>
      <c r="R436">
        <v>0</v>
      </c>
      <c r="V436">
        <v>0</v>
      </c>
      <c r="Z436">
        <v>0</v>
      </c>
      <c r="AD436">
        <v>0</v>
      </c>
      <c r="AH436">
        <v>0</v>
      </c>
      <c r="AL436">
        <v>0</v>
      </c>
      <c r="AP436">
        <v>0</v>
      </c>
      <c r="AT436">
        <v>0</v>
      </c>
      <c r="AX436">
        <v>0</v>
      </c>
      <c r="BB436">
        <v>0</v>
      </c>
      <c r="BF436">
        <v>0</v>
      </c>
      <c r="BJ436">
        <v>0</v>
      </c>
      <c r="BN436">
        <v>0</v>
      </c>
      <c r="BR436">
        <v>0</v>
      </c>
      <c r="BV436">
        <v>0</v>
      </c>
      <c r="BZ436">
        <v>0</v>
      </c>
      <c r="CD436">
        <v>0</v>
      </c>
      <c r="CH436">
        <v>0</v>
      </c>
    </row>
    <row r="437" spans="1:88" s="13" customFormat="1" x14ac:dyDescent="0.35">
      <c r="A437" s="12" t="s">
        <v>413</v>
      </c>
      <c r="B437" s="13">
        <v>128</v>
      </c>
      <c r="F437" s="13">
        <v>91</v>
      </c>
      <c r="J437" s="13">
        <v>36</v>
      </c>
      <c r="N437" s="13">
        <v>8</v>
      </c>
      <c r="R437" s="13">
        <v>66</v>
      </c>
      <c r="V437" s="13">
        <v>62</v>
      </c>
      <c r="Z437" s="13">
        <v>12</v>
      </c>
      <c r="AD437" s="13">
        <v>25</v>
      </c>
      <c r="AH437" s="13">
        <v>24</v>
      </c>
      <c r="AL437" s="13">
        <v>20</v>
      </c>
      <c r="AP437" s="13">
        <v>31</v>
      </c>
      <c r="AT437" s="13">
        <v>16</v>
      </c>
      <c r="AX437" s="13">
        <v>63</v>
      </c>
      <c r="BB437" s="13">
        <v>41</v>
      </c>
      <c r="BF437" s="13">
        <v>24</v>
      </c>
      <c r="BJ437" s="13">
        <v>54</v>
      </c>
      <c r="BN437" s="13">
        <v>51</v>
      </c>
      <c r="BR437" s="13">
        <v>23</v>
      </c>
      <c r="BV437" s="13">
        <v>37</v>
      </c>
      <c r="BZ437" s="13">
        <v>24</v>
      </c>
      <c r="CD437" s="13">
        <v>32</v>
      </c>
      <c r="CH437" s="13">
        <v>35</v>
      </c>
    </row>
    <row r="439" spans="1:88" x14ac:dyDescent="0.35">
      <c r="AB439" s="2" t="s">
        <v>3</v>
      </c>
      <c r="AF439" s="2" t="s">
        <v>4</v>
      </c>
      <c r="AJ439" s="2" t="s">
        <v>5</v>
      </c>
      <c r="AN439" s="2" t="s">
        <v>6</v>
      </c>
      <c r="AR439" s="2" t="s">
        <v>7</v>
      </c>
      <c r="AV439" s="2" t="s">
        <v>8</v>
      </c>
      <c r="AZ439" s="2" t="s">
        <v>3</v>
      </c>
      <c r="BD439" s="2" t="s">
        <v>4</v>
      </c>
      <c r="BH439" s="2" t="s">
        <v>5</v>
      </c>
      <c r="BL439" s="2" t="s">
        <v>3</v>
      </c>
      <c r="BP439" s="2" t="s">
        <v>4</v>
      </c>
      <c r="BT439" s="2" t="s">
        <v>5</v>
      </c>
      <c r="BX439" s="2" t="s">
        <v>3</v>
      </c>
      <c r="CB439" s="2" t="s">
        <v>4</v>
      </c>
      <c r="CF439" s="2" t="s">
        <v>5</v>
      </c>
      <c r="CJ439" s="2" t="s">
        <v>6</v>
      </c>
    </row>
    <row r="440" spans="1:88" s="3" customFormat="1" x14ac:dyDescent="0.35">
      <c r="A440" s="3" t="s">
        <v>1447</v>
      </c>
      <c r="D440" s="5" t="s">
        <v>406</v>
      </c>
      <c r="H440" s="5" t="s">
        <v>406</v>
      </c>
      <c r="L440" s="5" t="s">
        <v>406</v>
      </c>
      <c r="P440" s="5" t="s">
        <v>406</v>
      </c>
      <c r="T440" s="5" t="s">
        <v>406</v>
      </c>
      <c r="X440" s="5" t="s">
        <v>406</v>
      </c>
      <c r="AB440" s="5" t="s">
        <v>406</v>
      </c>
      <c r="AF440" s="5" t="s">
        <v>406</v>
      </c>
      <c r="AJ440" s="5" t="s">
        <v>406</v>
      </c>
      <c r="AN440" s="5" t="s">
        <v>406</v>
      </c>
      <c r="AR440" s="5" t="s">
        <v>406</v>
      </c>
      <c r="AV440" s="5" t="s">
        <v>406</v>
      </c>
      <c r="AZ440" s="5" t="s">
        <v>406</v>
      </c>
      <c r="BD440" s="5" t="s">
        <v>406</v>
      </c>
      <c r="BH440" s="5" t="s">
        <v>406</v>
      </c>
      <c r="BL440" s="5" t="s">
        <v>406</v>
      </c>
      <c r="BP440" s="5" t="s">
        <v>406</v>
      </c>
      <c r="BT440" s="5" t="s">
        <v>406</v>
      </c>
      <c r="BX440" s="5" t="s">
        <v>406</v>
      </c>
      <c r="CB440" s="5" t="s">
        <v>406</v>
      </c>
      <c r="CF440" s="5" t="s">
        <v>406</v>
      </c>
      <c r="CJ440" s="5" t="s">
        <v>406</v>
      </c>
    </row>
    <row r="441" spans="1:88" x14ac:dyDescent="0.35">
      <c r="A441" s="1" t="s">
        <v>750</v>
      </c>
      <c r="B441">
        <v>113</v>
      </c>
      <c r="C441" s="6">
        <f>B441/B445</f>
        <v>0.28391959798994976</v>
      </c>
      <c r="D441" s="6">
        <f>113/$D$3</f>
        <v>0.10272727272727272</v>
      </c>
      <c r="F441">
        <v>106</v>
      </c>
      <c r="G441" s="6">
        <f>F441/F445</f>
        <v>0.28882833787465939</v>
      </c>
      <c r="H441" s="6">
        <f>106/$H$3</f>
        <v>0.1163556531284303</v>
      </c>
      <c r="J441">
        <v>113</v>
      </c>
      <c r="K441" s="6">
        <f>J441/J445</f>
        <v>0.28391959798994976</v>
      </c>
      <c r="L441" s="6">
        <f>113/$L$3</f>
        <v>0.26036866359447003</v>
      </c>
      <c r="N441">
        <v>0</v>
      </c>
      <c r="O441" s="6">
        <v>0</v>
      </c>
      <c r="P441" s="8">
        <f>0/$P$3</f>
        <v>0</v>
      </c>
      <c r="R441">
        <v>72</v>
      </c>
      <c r="S441" s="6">
        <f>R441/R445</f>
        <v>0.31858407079646017</v>
      </c>
      <c r="T441" s="6">
        <f>72/$T$3</f>
        <v>0.12857142857142856</v>
      </c>
      <c r="V441">
        <v>41</v>
      </c>
      <c r="W441" s="6">
        <f>V441/V445</f>
        <v>0.23837209302325582</v>
      </c>
      <c r="X441" s="6">
        <f>41/$X$3</f>
        <v>7.5925925925925924E-2</v>
      </c>
      <c r="Z441">
        <v>11</v>
      </c>
      <c r="AA441" s="6">
        <f>Z441/Z445</f>
        <v>0.22448979591836735</v>
      </c>
      <c r="AB441" s="6">
        <f>11/$AB$3</f>
        <v>9.7345132743362831E-2</v>
      </c>
      <c r="AD441">
        <v>18</v>
      </c>
      <c r="AE441" s="6">
        <f>AD441/AD445</f>
        <v>0.25352112676056338</v>
      </c>
      <c r="AF441" s="6">
        <f>18/$AF$3</f>
        <v>9.0909090909090912E-2</v>
      </c>
      <c r="AH441">
        <v>25</v>
      </c>
      <c r="AI441" s="6">
        <f>AH441/AH445</f>
        <v>0.29411764705882354</v>
      </c>
      <c r="AJ441" s="6">
        <f>25/$AJ$3</f>
        <v>0.10121457489878542</v>
      </c>
      <c r="AL441">
        <v>29</v>
      </c>
      <c r="AM441" s="6">
        <f>AL441/AL445</f>
        <v>0.30526315789473685</v>
      </c>
      <c r="AN441" s="6">
        <f>29/$AN$3</f>
        <v>0.125</v>
      </c>
      <c r="AP441">
        <v>18</v>
      </c>
      <c r="AQ441" s="6">
        <f>AP441/AP445</f>
        <v>0.3</v>
      </c>
      <c r="AR441" s="6">
        <f>18/$AR$3</f>
        <v>9.6774193548387094E-2</v>
      </c>
      <c r="AT441">
        <v>12</v>
      </c>
      <c r="AU441" s="6">
        <f>AT441/AT445</f>
        <v>0.31578947368421051</v>
      </c>
      <c r="AV441" s="6">
        <f>12/$AV$3</f>
        <v>9.6774193548387094E-2</v>
      </c>
      <c r="AX441">
        <v>42</v>
      </c>
      <c r="AY441" s="6">
        <f>AX441/AX445</f>
        <v>0.2608695652173913</v>
      </c>
      <c r="AZ441" s="6">
        <f>42/$AZ$3</f>
        <v>9.7674418604651161E-2</v>
      </c>
      <c r="BB441">
        <v>46</v>
      </c>
      <c r="BC441" s="6">
        <f>BB441/BB445</f>
        <v>0.2857142857142857</v>
      </c>
      <c r="BD441" s="6">
        <f>46/$BD$3</f>
        <v>0.10747663551401869</v>
      </c>
      <c r="BF441">
        <v>25</v>
      </c>
      <c r="BG441" s="6">
        <f>BF441/BF445</f>
        <v>0.32894736842105265</v>
      </c>
      <c r="BH441" s="6">
        <f>25/$BH$3</f>
        <v>0.10330578512396695</v>
      </c>
      <c r="BJ441">
        <v>45</v>
      </c>
      <c r="BK441" s="6">
        <f>BJ441/BJ445</f>
        <v>0.32608695652173914</v>
      </c>
      <c r="BL441" s="6">
        <f>45/$BL$3</f>
        <v>0.11166253101736973</v>
      </c>
      <c r="BN441">
        <v>42</v>
      </c>
      <c r="BO441" s="6">
        <f>BN441/BN445</f>
        <v>0.2709677419354839</v>
      </c>
      <c r="BP441" s="6">
        <f>42/$BP$3</f>
        <v>9.9290780141843976E-2</v>
      </c>
      <c r="BR441">
        <v>26</v>
      </c>
      <c r="BS441" s="6">
        <f>BR441/BR445</f>
        <v>0.24761904761904763</v>
      </c>
      <c r="BT441" s="6">
        <f>26/$BT$3</f>
        <v>9.4890510948905105E-2</v>
      </c>
      <c r="BV441">
        <v>33</v>
      </c>
      <c r="BW441" s="6">
        <f>BV441/BV445</f>
        <v>0.28448275862068967</v>
      </c>
      <c r="BX441" s="6">
        <f>33/$BX$3</f>
        <v>0.10819672131147541</v>
      </c>
      <c r="BZ441">
        <v>32</v>
      </c>
      <c r="CA441" s="6">
        <f>BZ441/BZ445</f>
        <v>0.34408602150537637</v>
      </c>
      <c r="CB441" s="6">
        <f>32/$CB$3</f>
        <v>0.14285714285714285</v>
      </c>
      <c r="CD441">
        <v>20</v>
      </c>
      <c r="CE441" s="6">
        <f>CD441/CD445</f>
        <v>0.25641025641025639</v>
      </c>
      <c r="CF441" s="6">
        <f>20/$CF$3</f>
        <v>8.2987551867219914E-2</v>
      </c>
      <c r="CH441">
        <v>28</v>
      </c>
      <c r="CI441" s="6">
        <f>CH441/CH445</f>
        <v>0.25225225225225223</v>
      </c>
      <c r="CJ441" s="6">
        <f>28/$CJ$3</f>
        <v>8.4848484848484854E-2</v>
      </c>
    </row>
    <row r="442" spans="1:88" x14ac:dyDescent="0.35">
      <c r="A442" s="1" t="s">
        <v>751</v>
      </c>
      <c r="B442">
        <v>54</v>
      </c>
      <c r="C442" s="6">
        <f>B442/B445</f>
        <v>0.135678391959799</v>
      </c>
      <c r="D442" s="6">
        <f>54/$D$3</f>
        <v>4.9090909090909088E-2</v>
      </c>
      <c r="F442">
        <v>51</v>
      </c>
      <c r="G442" s="6">
        <f>F442/F445</f>
        <v>0.13896457765667575</v>
      </c>
      <c r="H442" s="6">
        <f>51/$H$3</f>
        <v>5.598243688254665E-2</v>
      </c>
      <c r="J442">
        <v>54</v>
      </c>
      <c r="K442" s="6">
        <f>J442/J445</f>
        <v>0.135678391959799</v>
      </c>
      <c r="L442" s="6">
        <f>54/$L$3</f>
        <v>0.12442396313364056</v>
      </c>
      <c r="N442">
        <v>0</v>
      </c>
      <c r="O442" s="6">
        <v>0</v>
      </c>
      <c r="P442" s="6">
        <f>0/$P$3</f>
        <v>0</v>
      </c>
      <c r="R442">
        <v>31</v>
      </c>
      <c r="S442" s="6">
        <f>R442/R445</f>
        <v>0.13716814159292035</v>
      </c>
      <c r="T442" s="6">
        <f>31/$T$3</f>
        <v>5.5357142857142855E-2</v>
      </c>
      <c r="V442">
        <v>23</v>
      </c>
      <c r="W442" s="6">
        <f>V442/V445</f>
        <v>0.13372093023255813</v>
      </c>
      <c r="X442" s="6">
        <f>23/$X$3</f>
        <v>4.2592592592592592E-2</v>
      </c>
      <c r="Z442">
        <v>17</v>
      </c>
      <c r="AA442" s="6">
        <f>Z442/Z445</f>
        <v>0.34693877551020408</v>
      </c>
      <c r="AB442" s="6">
        <f>17/$AB$3</f>
        <v>0.15044247787610621</v>
      </c>
      <c r="AD442">
        <v>13</v>
      </c>
      <c r="AE442" s="6">
        <f>AD442/AD445</f>
        <v>0.18309859154929578</v>
      </c>
      <c r="AF442" s="6">
        <f>13/$AF$3</f>
        <v>6.5656565656565663E-2</v>
      </c>
      <c r="AH442">
        <v>9</v>
      </c>
      <c r="AI442" s="6">
        <f>AH442/AH445</f>
        <v>0.10588235294117647</v>
      </c>
      <c r="AJ442" s="6">
        <f>9/$AJ$3</f>
        <v>3.643724696356275E-2</v>
      </c>
      <c r="AL442">
        <v>7</v>
      </c>
      <c r="AM442" s="6">
        <f>AL442/AL445</f>
        <v>7.3684210526315783E-2</v>
      </c>
      <c r="AN442" s="6">
        <f>7/$AN$3</f>
        <v>3.017241379310345E-2</v>
      </c>
      <c r="AP442">
        <v>4</v>
      </c>
      <c r="AQ442" s="6">
        <f>AP442/AP445</f>
        <v>6.6666666666666666E-2</v>
      </c>
      <c r="AR442" s="6">
        <f>4/$AR$3</f>
        <v>2.1505376344086023E-2</v>
      </c>
      <c r="AT442">
        <v>4</v>
      </c>
      <c r="AU442" s="6">
        <f>AT442/AT445</f>
        <v>0.10526315789473684</v>
      </c>
      <c r="AV442" s="6">
        <f>4/$AV$3</f>
        <v>3.2258064516129031E-2</v>
      </c>
      <c r="AX442">
        <v>21</v>
      </c>
      <c r="AY442" s="6">
        <f>AX442/AX445</f>
        <v>0.13043478260869565</v>
      </c>
      <c r="AZ442" s="6">
        <f>21/$AZ$3</f>
        <v>4.8837209302325581E-2</v>
      </c>
      <c r="BB442">
        <v>26</v>
      </c>
      <c r="BC442" s="6">
        <f>BB442/BB445</f>
        <v>0.16149068322981366</v>
      </c>
      <c r="BD442" s="6">
        <f>26/$BD$3</f>
        <v>6.0747663551401869E-2</v>
      </c>
      <c r="BF442">
        <v>7</v>
      </c>
      <c r="BG442" s="6">
        <f>BF442/BF445</f>
        <v>9.2105263157894732E-2</v>
      </c>
      <c r="BH442" s="6">
        <f>7/$BH$3</f>
        <v>2.8925619834710745E-2</v>
      </c>
      <c r="BJ442">
        <v>17</v>
      </c>
      <c r="BK442" s="6">
        <f>BJ442/BJ445</f>
        <v>0.12318840579710146</v>
      </c>
      <c r="BL442" s="6">
        <f>17/$BL$3</f>
        <v>4.2183622828784122E-2</v>
      </c>
      <c r="BN442">
        <v>18</v>
      </c>
      <c r="BO442" s="6">
        <f>BN442/BN445</f>
        <v>0.11612903225806452</v>
      </c>
      <c r="BP442" s="6">
        <f>18/$BP$3</f>
        <v>4.2553191489361701E-2</v>
      </c>
      <c r="BR442">
        <v>19</v>
      </c>
      <c r="BS442" s="6">
        <f>BR442/BR445</f>
        <v>0.18095238095238095</v>
      </c>
      <c r="BT442" s="6">
        <f>19/$BT$3</f>
        <v>6.9343065693430656E-2</v>
      </c>
      <c r="BV442">
        <v>18</v>
      </c>
      <c r="BW442" s="6">
        <f>BV442/BV445</f>
        <v>0.15517241379310345</v>
      </c>
      <c r="BX442" s="6">
        <f>18/$BX$3</f>
        <v>5.9016393442622953E-2</v>
      </c>
      <c r="BZ442">
        <v>12</v>
      </c>
      <c r="CA442" s="6">
        <f>BZ442/BZ445</f>
        <v>0.12903225806451613</v>
      </c>
      <c r="CB442" s="6">
        <f>12/$CB$3</f>
        <v>5.3571428571428568E-2</v>
      </c>
      <c r="CD442">
        <v>11</v>
      </c>
      <c r="CE442" s="6">
        <f>CD442/CD445</f>
        <v>0.14102564102564102</v>
      </c>
      <c r="CF442" s="6">
        <f>11/$CF$3</f>
        <v>4.5643153526970952E-2</v>
      </c>
      <c r="CH442">
        <v>13</v>
      </c>
      <c r="CI442" s="6">
        <f>CH442/CH445</f>
        <v>0.11711711711711711</v>
      </c>
      <c r="CJ442" s="6">
        <f>13/$CJ$3</f>
        <v>3.9393939393939391E-2</v>
      </c>
    </row>
    <row r="443" spans="1:88" x14ac:dyDescent="0.35">
      <c r="A443" s="1" t="s">
        <v>752</v>
      </c>
      <c r="B443">
        <v>231</v>
      </c>
      <c r="C443" s="6">
        <f>B443/B445</f>
        <v>0.58040201005025127</v>
      </c>
      <c r="D443" s="6">
        <f>231/$D$3</f>
        <v>0.21</v>
      </c>
      <c r="F443">
        <v>210</v>
      </c>
      <c r="G443" s="6">
        <f>F443/F445</f>
        <v>0.57220708446866486</v>
      </c>
      <c r="H443" s="6">
        <f>210/$H$3</f>
        <v>0.2305159165751921</v>
      </c>
      <c r="J443">
        <v>231</v>
      </c>
      <c r="K443" s="6">
        <f>J443/J445</f>
        <v>0.58040201005025127</v>
      </c>
      <c r="L443" s="6">
        <f>231/$L$3</f>
        <v>0.532258064516129</v>
      </c>
      <c r="N443">
        <v>0</v>
      </c>
      <c r="O443" s="6">
        <v>0</v>
      </c>
      <c r="P443" s="8">
        <f>0/$P$3</f>
        <v>0</v>
      </c>
      <c r="R443">
        <v>123</v>
      </c>
      <c r="S443" s="6">
        <f>R443/R445</f>
        <v>0.54424778761061943</v>
      </c>
      <c r="T443" s="6">
        <f>123/$T$3</f>
        <v>0.21964285714285714</v>
      </c>
      <c r="V443">
        <v>108</v>
      </c>
      <c r="W443" s="6">
        <f>V443/V445</f>
        <v>0.62790697674418605</v>
      </c>
      <c r="X443" s="6">
        <f>108/$X$3</f>
        <v>0.2</v>
      </c>
      <c r="Z443">
        <v>21</v>
      </c>
      <c r="AA443" s="6">
        <f>Z443/Z445</f>
        <v>0.42857142857142855</v>
      </c>
      <c r="AB443" s="6">
        <f>21/$AB$3</f>
        <v>0.18584070796460178</v>
      </c>
      <c r="AD443">
        <v>40</v>
      </c>
      <c r="AE443" s="6">
        <f>AD443/AD445</f>
        <v>0.56338028169014087</v>
      </c>
      <c r="AF443" s="6">
        <f>40/$AF$3</f>
        <v>0.20202020202020202</v>
      </c>
      <c r="AH443">
        <v>51</v>
      </c>
      <c r="AI443" s="6">
        <f>AH443/AH445</f>
        <v>0.6</v>
      </c>
      <c r="AJ443" s="6">
        <f>51/$AJ$3</f>
        <v>0.20647773279352227</v>
      </c>
      <c r="AL443">
        <v>59</v>
      </c>
      <c r="AM443" s="6">
        <f>AL443/AL445</f>
        <v>0.62105263157894741</v>
      </c>
      <c r="AN443" s="6">
        <f>59/$AN$3</f>
        <v>0.25431034482758619</v>
      </c>
      <c r="AP443">
        <v>38</v>
      </c>
      <c r="AQ443" s="6">
        <f>AP443/AP445</f>
        <v>0.6333333333333333</v>
      </c>
      <c r="AR443" s="6">
        <f>38/$AR$3</f>
        <v>0.20430107526881722</v>
      </c>
      <c r="AT443">
        <v>22</v>
      </c>
      <c r="AU443" s="6">
        <f>AT443/AT445</f>
        <v>0.57894736842105265</v>
      </c>
      <c r="AV443" s="6">
        <f>22/$AV$3</f>
        <v>0.17741935483870969</v>
      </c>
      <c r="AX443">
        <v>98</v>
      </c>
      <c r="AY443" s="6">
        <f>AX443/AX445</f>
        <v>0.60869565217391308</v>
      </c>
      <c r="AZ443" s="6">
        <f>98/$AZ$3</f>
        <v>0.22790697674418606</v>
      </c>
      <c r="BB443">
        <v>89</v>
      </c>
      <c r="BC443" s="6">
        <f>BB443/BB445</f>
        <v>0.55279503105590067</v>
      </c>
      <c r="BD443" s="6">
        <f>89/$BD$3</f>
        <v>0.20794392523364486</v>
      </c>
      <c r="BF443">
        <v>44</v>
      </c>
      <c r="BG443" s="6">
        <f>BF443/BF445</f>
        <v>0.57894736842105265</v>
      </c>
      <c r="BH443" s="6">
        <f>44/$BH$3</f>
        <v>0.18181818181818182</v>
      </c>
      <c r="BJ443">
        <v>76</v>
      </c>
      <c r="BK443" s="6">
        <f>BJ443/BJ445</f>
        <v>0.55072463768115942</v>
      </c>
      <c r="BL443" s="6">
        <f>76/$BL$3</f>
        <v>0.18858560794044665</v>
      </c>
      <c r="BN443">
        <v>95</v>
      </c>
      <c r="BO443" s="6">
        <f>BN443/BN445</f>
        <v>0.61290322580645162</v>
      </c>
      <c r="BP443" s="6">
        <f>95/$BP$3</f>
        <v>0.22458628841607564</v>
      </c>
      <c r="BR443">
        <v>60</v>
      </c>
      <c r="BS443" s="6">
        <f>BR443/BR445</f>
        <v>0.5714285714285714</v>
      </c>
      <c r="BT443" s="6">
        <f>60/$BT$3</f>
        <v>0.21897810218978103</v>
      </c>
      <c r="BV443">
        <v>65</v>
      </c>
      <c r="BW443" s="6">
        <f>BV443/BV445</f>
        <v>0.56034482758620685</v>
      </c>
      <c r="BX443" s="6">
        <f>65/$BX$3</f>
        <v>0.21311475409836064</v>
      </c>
      <c r="BZ443">
        <v>49</v>
      </c>
      <c r="CA443" s="6">
        <f>BZ443/BZ445</f>
        <v>0.5268817204301075</v>
      </c>
      <c r="CB443" s="6">
        <f>49/$CB$3</f>
        <v>0.21875</v>
      </c>
      <c r="CD443">
        <v>47</v>
      </c>
      <c r="CE443" s="6">
        <f>CD443/CD445</f>
        <v>0.60256410256410253</v>
      </c>
      <c r="CF443" s="6">
        <f>47/$CF$3</f>
        <v>0.19502074688796681</v>
      </c>
      <c r="CH443">
        <v>70</v>
      </c>
      <c r="CI443" s="6">
        <f>CH443/CH445</f>
        <v>0.63063063063063063</v>
      </c>
      <c r="CJ443" s="6">
        <f>70/$CJ$3</f>
        <v>0.21212121212121213</v>
      </c>
    </row>
    <row r="444" spans="1:88" x14ac:dyDescent="0.35">
      <c r="A444" s="1" t="s">
        <v>409</v>
      </c>
      <c r="B444">
        <v>0</v>
      </c>
      <c r="C444" s="6">
        <f>B444/B445</f>
        <v>0</v>
      </c>
      <c r="D444" s="6">
        <f>0/$D$3</f>
        <v>0</v>
      </c>
      <c r="F444">
        <v>0</v>
      </c>
      <c r="G444" s="6">
        <f>F444/F445</f>
        <v>0</v>
      </c>
      <c r="H444" s="6">
        <f>0/$H$3</f>
        <v>0</v>
      </c>
      <c r="J444">
        <v>0</v>
      </c>
      <c r="K444" s="6">
        <f>J444/J445</f>
        <v>0</v>
      </c>
      <c r="L444" s="6">
        <f>0/$L$3</f>
        <v>0</v>
      </c>
      <c r="N444">
        <v>0</v>
      </c>
      <c r="O444" s="6">
        <v>0</v>
      </c>
      <c r="P444" s="6">
        <f>0/$P$3</f>
        <v>0</v>
      </c>
      <c r="R444">
        <v>0</v>
      </c>
      <c r="S444" s="6">
        <f>R444/R445</f>
        <v>0</v>
      </c>
      <c r="T444" s="6">
        <f>0/$T$3</f>
        <v>0</v>
      </c>
      <c r="V444">
        <v>0</v>
      </c>
      <c r="W444" s="6">
        <f>V444/V445</f>
        <v>0</v>
      </c>
      <c r="X444" s="6">
        <f>0/$X$3</f>
        <v>0</v>
      </c>
      <c r="Z444">
        <v>0</v>
      </c>
      <c r="AA444" s="6">
        <f>Z444/Z445</f>
        <v>0</v>
      </c>
      <c r="AB444" s="6">
        <f>0/$AB$3</f>
        <v>0</v>
      </c>
      <c r="AD444">
        <v>0</v>
      </c>
      <c r="AE444" s="6">
        <f>AD444/AD445</f>
        <v>0</v>
      </c>
      <c r="AF444" s="6">
        <f>0/$AF$3</f>
        <v>0</v>
      </c>
      <c r="AH444">
        <v>0</v>
      </c>
      <c r="AI444" s="6">
        <f>AH444/AH445</f>
        <v>0</v>
      </c>
      <c r="AJ444" s="6">
        <f>0/$AJ$3</f>
        <v>0</v>
      </c>
      <c r="AL444">
        <v>0</v>
      </c>
      <c r="AM444" s="6">
        <f>AL444/AL445</f>
        <v>0</v>
      </c>
      <c r="AN444" s="6">
        <f>0/$AN$3</f>
        <v>0</v>
      </c>
      <c r="AP444">
        <v>0</v>
      </c>
      <c r="AQ444" s="6">
        <f>AP444/AP445</f>
        <v>0</v>
      </c>
      <c r="AR444" s="6">
        <f>0/$AR$3</f>
        <v>0</v>
      </c>
      <c r="AT444">
        <v>0</v>
      </c>
      <c r="AU444" s="6">
        <f>AT444/AT445</f>
        <v>0</v>
      </c>
      <c r="AV444" s="6">
        <f>0/$AV$3</f>
        <v>0</v>
      </c>
      <c r="AX444">
        <v>0</v>
      </c>
      <c r="AY444" s="6">
        <f>AX444/AX445</f>
        <v>0</v>
      </c>
      <c r="AZ444" s="6">
        <f>0/$AZ$3</f>
        <v>0</v>
      </c>
      <c r="BB444">
        <v>0</v>
      </c>
      <c r="BC444" s="6">
        <f>BB444/BB445</f>
        <v>0</v>
      </c>
      <c r="BD444" s="6">
        <f>0/$BD$3</f>
        <v>0</v>
      </c>
      <c r="BF444">
        <v>0</v>
      </c>
      <c r="BG444" s="6">
        <f>BF444/BF445</f>
        <v>0</v>
      </c>
      <c r="BH444" s="6">
        <f>0/$BH$3</f>
        <v>0</v>
      </c>
      <c r="BJ444">
        <v>0</v>
      </c>
      <c r="BK444" s="6">
        <f>BJ444/BJ445</f>
        <v>0</v>
      </c>
      <c r="BL444" s="6">
        <f>0/$BL$3</f>
        <v>0</v>
      </c>
      <c r="BN444">
        <v>0</v>
      </c>
      <c r="BO444" s="6">
        <f>BN444/BN445</f>
        <v>0</v>
      </c>
      <c r="BP444" s="6">
        <f>0/$BP$3</f>
        <v>0</v>
      </c>
      <c r="BR444">
        <v>0</v>
      </c>
      <c r="BS444" s="6">
        <f>BR444/BR445</f>
        <v>0</v>
      </c>
      <c r="BT444" s="6">
        <f>0/$BT$3</f>
        <v>0</v>
      </c>
      <c r="BV444">
        <v>0</v>
      </c>
      <c r="BW444" s="6">
        <f>BV444/BV445</f>
        <v>0</v>
      </c>
      <c r="BX444" s="6">
        <f>0/$BX$3</f>
        <v>0</v>
      </c>
      <c r="BZ444">
        <v>0</v>
      </c>
      <c r="CA444" s="6">
        <f>BZ444/BZ445</f>
        <v>0</v>
      </c>
      <c r="CB444" s="6">
        <f>0/$CB$3</f>
        <v>0</v>
      </c>
      <c r="CD444">
        <v>0</v>
      </c>
      <c r="CE444" s="6">
        <f>CD444/CD445</f>
        <v>0</v>
      </c>
      <c r="CF444" s="6">
        <f>0/$CF$3</f>
        <v>0</v>
      </c>
      <c r="CH444">
        <v>0</v>
      </c>
      <c r="CI444" s="6">
        <f>CH444/CH445</f>
        <v>0</v>
      </c>
      <c r="CJ444" s="6">
        <f>0/$CJ$3</f>
        <v>0</v>
      </c>
    </row>
    <row r="445" spans="1:88" s="10" customFormat="1" x14ac:dyDescent="0.35">
      <c r="A445" s="11" t="s">
        <v>411</v>
      </c>
      <c r="B445" s="10">
        <v>398</v>
      </c>
      <c r="F445" s="10">
        <v>367</v>
      </c>
      <c r="J445" s="10">
        <v>398</v>
      </c>
      <c r="N445" s="10">
        <v>0</v>
      </c>
      <c r="R445" s="10">
        <v>226</v>
      </c>
      <c r="V445" s="10">
        <v>172</v>
      </c>
      <c r="Z445" s="10">
        <v>49</v>
      </c>
      <c r="AD445" s="10">
        <v>71</v>
      </c>
      <c r="AH445" s="10">
        <v>85</v>
      </c>
      <c r="AL445" s="10">
        <v>95</v>
      </c>
      <c r="AP445" s="10">
        <v>60</v>
      </c>
      <c r="AT445" s="10">
        <v>38</v>
      </c>
      <c r="AX445" s="10">
        <v>161</v>
      </c>
      <c r="BB445" s="10">
        <v>161</v>
      </c>
      <c r="BF445" s="10">
        <v>76</v>
      </c>
      <c r="BJ445" s="10">
        <v>138</v>
      </c>
      <c r="BN445" s="10">
        <v>155</v>
      </c>
      <c r="BR445" s="10">
        <v>105</v>
      </c>
      <c r="BV445" s="10">
        <v>116</v>
      </c>
      <c r="BZ445" s="10">
        <v>93</v>
      </c>
      <c r="CD445" s="10">
        <v>78</v>
      </c>
      <c r="CH445" s="10">
        <v>111</v>
      </c>
    </row>
    <row r="446" spans="1:88" hidden="1" x14ac:dyDescent="0.35">
      <c r="A446" s="12" t="s">
        <v>412</v>
      </c>
      <c r="B446">
        <v>0</v>
      </c>
      <c r="F446">
        <v>0</v>
      </c>
      <c r="J446">
        <v>0</v>
      </c>
      <c r="N446">
        <v>0</v>
      </c>
      <c r="R446">
        <v>0</v>
      </c>
      <c r="V446">
        <v>0</v>
      </c>
      <c r="Z446">
        <v>0</v>
      </c>
      <c r="AD446">
        <v>0</v>
      </c>
      <c r="AH446">
        <v>0</v>
      </c>
      <c r="AL446">
        <v>0</v>
      </c>
      <c r="AP446">
        <v>0</v>
      </c>
      <c r="AT446">
        <v>0</v>
      </c>
      <c r="AX446">
        <v>0</v>
      </c>
      <c r="BB446">
        <v>0</v>
      </c>
      <c r="BF446">
        <v>0</v>
      </c>
      <c r="BJ446">
        <v>0</v>
      </c>
      <c r="BN446">
        <v>0</v>
      </c>
      <c r="BR446">
        <v>0</v>
      </c>
      <c r="BV446">
        <v>0</v>
      </c>
      <c r="BZ446">
        <v>0</v>
      </c>
      <c r="CD446">
        <v>0</v>
      </c>
      <c r="CH446">
        <v>0</v>
      </c>
    </row>
    <row r="447" spans="1:88" s="13" customFormat="1" x14ac:dyDescent="0.35">
      <c r="A447" s="12" t="s">
        <v>413</v>
      </c>
      <c r="B447" s="13">
        <v>702</v>
      </c>
      <c r="F447" s="13">
        <v>544</v>
      </c>
      <c r="J447" s="13">
        <v>36</v>
      </c>
      <c r="N447" s="13">
        <v>81</v>
      </c>
      <c r="R447" s="13">
        <v>334</v>
      </c>
      <c r="V447" s="13">
        <v>368</v>
      </c>
      <c r="Z447" s="13">
        <v>64</v>
      </c>
      <c r="AD447" s="13">
        <v>127</v>
      </c>
      <c r="AH447" s="13">
        <v>162</v>
      </c>
      <c r="AL447" s="13">
        <v>137</v>
      </c>
      <c r="AP447" s="13">
        <v>126</v>
      </c>
      <c r="AT447" s="13">
        <v>86</v>
      </c>
      <c r="AX447" s="13">
        <v>269</v>
      </c>
      <c r="BB447" s="13">
        <v>267</v>
      </c>
      <c r="BF447" s="13">
        <v>166</v>
      </c>
      <c r="BJ447" s="13">
        <v>265</v>
      </c>
      <c r="BN447" s="13">
        <v>268</v>
      </c>
      <c r="BR447" s="13">
        <v>169</v>
      </c>
      <c r="BV447" s="13">
        <v>189</v>
      </c>
      <c r="BZ447" s="13">
        <v>131</v>
      </c>
      <c r="CD447" s="13">
        <v>163</v>
      </c>
      <c r="CH447" s="13">
        <v>219</v>
      </c>
    </row>
    <row r="449" spans="1:88" x14ac:dyDescent="0.35">
      <c r="AB449" s="2" t="s">
        <v>3</v>
      </c>
      <c r="AF449" s="2" t="s">
        <v>4</v>
      </c>
      <c r="AJ449" s="2" t="s">
        <v>5</v>
      </c>
      <c r="AN449" s="2" t="s">
        <v>6</v>
      </c>
      <c r="AR449" s="2" t="s">
        <v>7</v>
      </c>
      <c r="AV449" s="2" t="s">
        <v>8</v>
      </c>
      <c r="AZ449" s="2" t="s">
        <v>3</v>
      </c>
      <c r="BD449" s="2" t="s">
        <v>4</v>
      </c>
      <c r="BH449" s="2" t="s">
        <v>5</v>
      </c>
      <c r="BL449" s="2" t="s">
        <v>3</v>
      </c>
      <c r="BP449" s="2" t="s">
        <v>4</v>
      </c>
      <c r="BT449" s="2" t="s">
        <v>5</v>
      </c>
      <c r="BX449" s="2" t="s">
        <v>3</v>
      </c>
      <c r="CB449" s="2" t="s">
        <v>4</v>
      </c>
      <c r="CF449" s="2" t="s">
        <v>5</v>
      </c>
      <c r="CJ449" s="2" t="s">
        <v>6</v>
      </c>
    </row>
    <row r="450" spans="1:88" s="3" customFormat="1" x14ac:dyDescent="0.35">
      <c r="A450" s="3" t="s">
        <v>1448</v>
      </c>
      <c r="D450" s="5" t="s">
        <v>406</v>
      </c>
      <c r="H450" s="5" t="s">
        <v>406</v>
      </c>
      <c r="L450" s="5" t="s">
        <v>406</v>
      </c>
      <c r="P450" s="5" t="s">
        <v>406</v>
      </c>
      <c r="T450" s="5" t="s">
        <v>406</v>
      </c>
      <c r="X450" s="5" t="s">
        <v>406</v>
      </c>
      <c r="AB450" s="5" t="s">
        <v>406</v>
      </c>
      <c r="AF450" s="5" t="s">
        <v>406</v>
      </c>
      <c r="AJ450" s="5" t="s">
        <v>406</v>
      </c>
      <c r="AN450" s="5" t="s">
        <v>406</v>
      </c>
      <c r="AR450" s="5" t="s">
        <v>406</v>
      </c>
      <c r="AV450" s="5" t="s">
        <v>406</v>
      </c>
      <c r="AZ450" s="5" t="s">
        <v>406</v>
      </c>
      <c r="BD450" s="5" t="s">
        <v>406</v>
      </c>
      <c r="BH450" s="5" t="s">
        <v>406</v>
      </c>
      <c r="BL450" s="5" t="s">
        <v>406</v>
      </c>
      <c r="BP450" s="5" t="s">
        <v>406</v>
      </c>
      <c r="BT450" s="5" t="s">
        <v>406</v>
      </c>
      <c r="BX450" s="5" t="s">
        <v>406</v>
      </c>
      <c r="CB450" s="5" t="s">
        <v>406</v>
      </c>
      <c r="CF450" s="5" t="s">
        <v>406</v>
      </c>
      <c r="CJ450" s="5" t="s">
        <v>406</v>
      </c>
    </row>
    <row r="451" spans="1:88" x14ac:dyDescent="0.35">
      <c r="A451" s="1" t="s">
        <v>626</v>
      </c>
      <c r="B451">
        <v>321</v>
      </c>
      <c r="C451" s="6">
        <f>B451/B454</f>
        <v>0.29181818181818181</v>
      </c>
      <c r="D451" s="6">
        <f>321/$D$3</f>
        <v>0.29181818181818181</v>
      </c>
      <c r="F451">
        <v>291</v>
      </c>
      <c r="G451" s="6">
        <f>F451/F454</f>
        <v>0.3194291986827662</v>
      </c>
      <c r="H451" s="6">
        <f>291/$H$3</f>
        <v>0.3194291986827662</v>
      </c>
      <c r="J451">
        <v>169</v>
      </c>
      <c r="K451" s="6">
        <f>J451/J454</f>
        <v>0.38940092165898615</v>
      </c>
      <c r="L451" s="9">
        <f>169/$L$3</f>
        <v>0.38940092165898615</v>
      </c>
      <c r="N451">
        <v>22</v>
      </c>
      <c r="O451" s="6">
        <f>N451/N454</f>
        <v>0.27160493827160492</v>
      </c>
      <c r="P451" s="6">
        <f>22/$P$3</f>
        <v>0.27160493827160492</v>
      </c>
      <c r="R451">
        <v>199</v>
      </c>
      <c r="S451" s="6">
        <f>R451/R454</f>
        <v>0.35535714285714287</v>
      </c>
      <c r="T451" s="9">
        <f>199/$T$3</f>
        <v>0.35535714285714287</v>
      </c>
      <c r="V451">
        <v>122</v>
      </c>
      <c r="W451" s="6">
        <f>V451/V454</f>
        <v>0.22592592592592592</v>
      </c>
      <c r="X451" s="8">
        <f>122/$X$3</f>
        <v>0.22592592592592592</v>
      </c>
      <c r="Z451">
        <v>24</v>
      </c>
      <c r="AA451" s="6">
        <f>Z451/Z454</f>
        <v>0.21238938053097345</v>
      </c>
      <c r="AB451" s="8">
        <f>24/$AB$3</f>
        <v>0.21238938053097345</v>
      </c>
      <c r="AD451">
        <v>49</v>
      </c>
      <c r="AE451" s="6">
        <f>AD451/AD454</f>
        <v>0.24747474747474749</v>
      </c>
      <c r="AF451" s="6">
        <f>49/$AF$3</f>
        <v>0.24747474747474749</v>
      </c>
      <c r="AH451">
        <v>79</v>
      </c>
      <c r="AI451" s="6">
        <f>AH451/AH454</f>
        <v>0.31983805668016196</v>
      </c>
      <c r="AJ451" s="6">
        <f>79/$AJ$3</f>
        <v>0.31983805668016196</v>
      </c>
      <c r="AL451">
        <v>82</v>
      </c>
      <c r="AM451" s="6">
        <f>AL451/AL454</f>
        <v>0.35344827586206895</v>
      </c>
      <c r="AN451" s="9">
        <f>82/$AN$3</f>
        <v>0.35344827586206895</v>
      </c>
      <c r="AO451" s="7"/>
      <c r="AP451">
        <v>56</v>
      </c>
      <c r="AQ451" s="6">
        <f>AP451/AP454</f>
        <v>0.30107526881720431</v>
      </c>
      <c r="AR451" s="6">
        <f>56/$AR$3</f>
        <v>0.30107526881720431</v>
      </c>
      <c r="AT451">
        <v>31</v>
      </c>
      <c r="AU451" s="6">
        <f>AT451/AT454</f>
        <v>0.25</v>
      </c>
      <c r="AV451" s="6">
        <f>31/$AV$3</f>
        <v>0.25</v>
      </c>
      <c r="AX451">
        <v>135</v>
      </c>
      <c r="AY451" s="6">
        <f>AX451/AX454</f>
        <v>0.31395348837209303</v>
      </c>
      <c r="AZ451" s="6">
        <f>135/$AZ$3</f>
        <v>0.31395348837209303</v>
      </c>
      <c r="BA451" s="7" t="s">
        <v>5</v>
      </c>
      <c r="BB451">
        <v>134</v>
      </c>
      <c r="BC451" s="6">
        <f>BB451/BB454</f>
        <v>0.31308411214953269</v>
      </c>
      <c r="BD451" s="6">
        <f>134/$BD$3</f>
        <v>0.31308411214953269</v>
      </c>
      <c r="BE451" s="7" t="s">
        <v>5</v>
      </c>
      <c r="BF451">
        <v>52</v>
      </c>
      <c r="BG451" s="6">
        <f>BF451/BF454</f>
        <v>0.21487603305785125</v>
      </c>
      <c r="BH451" s="8">
        <f>52/$BH$3</f>
        <v>0.21487603305785125</v>
      </c>
      <c r="BJ451">
        <v>117</v>
      </c>
      <c r="BK451" s="6">
        <f>BJ451/BJ454</f>
        <v>0.29032258064516131</v>
      </c>
      <c r="BL451" s="6">
        <f>117/$BL$3</f>
        <v>0.29032258064516131</v>
      </c>
      <c r="BN451">
        <v>122</v>
      </c>
      <c r="BO451" s="6">
        <f>BN451/BN454</f>
        <v>0.28841607565011823</v>
      </c>
      <c r="BP451" s="6">
        <f>122/$BP$3</f>
        <v>0.28841607565011823</v>
      </c>
      <c r="BR451">
        <v>82</v>
      </c>
      <c r="BS451" s="6">
        <f>BR451/BR454</f>
        <v>0.29927007299270075</v>
      </c>
      <c r="BT451" s="6">
        <f>82/$BT$3</f>
        <v>0.29927007299270075</v>
      </c>
      <c r="BV451">
        <v>75</v>
      </c>
      <c r="BW451" s="6">
        <f>BV451/BV454</f>
        <v>0.24590163934426229</v>
      </c>
      <c r="BX451" s="6">
        <f>75/$BX$3</f>
        <v>0.24590163934426229</v>
      </c>
      <c r="BZ451">
        <v>73</v>
      </c>
      <c r="CA451" s="6">
        <f>BZ451/BZ454</f>
        <v>0.32589285714285715</v>
      </c>
      <c r="CB451" s="6">
        <f>73/$CB$3</f>
        <v>0.32589285714285715</v>
      </c>
      <c r="CD451">
        <v>80</v>
      </c>
      <c r="CE451" s="6">
        <f>CD451/CD454</f>
        <v>0.33195020746887965</v>
      </c>
      <c r="CF451" s="6">
        <f>80/$CF$3</f>
        <v>0.33195020746887965</v>
      </c>
      <c r="CH451">
        <v>93</v>
      </c>
      <c r="CI451" s="6">
        <f>CH451/CH454</f>
        <v>0.2818181818181818</v>
      </c>
      <c r="CJ451" s="6">
        <f>93/$CJ$3</f>
        <v>0.2818181818181818</v>
      </c>
    </row>
    <row r="452" spans="1:88" x14ac:dyDescent="0.35">
      <c r="A452" s="1" t="s">
        <v>627</v>
      </c>
      <c r="B452">
        <v>779</v>
      </c>
      <c r="C452" s="6">
        <f>B452/B454</f>
        <v>0.70818181818181813</v>
      </c>
      <c r="D452" s="6">
        <f>779/$D$3</f>
        <v>0.70818181818181813</v>
      </c>
      <c r="F452">
        <v>620</v>
      </c>
      <c r="G452" s="6">
        <f>F452/F454</f>
        <v>0.6805708013172338</v>
      </c>
      <c r="H452" s="6">
        <f>620/$H$3</f>
        <v>0.6805708013172338</v>
      </c>
      <c r="J452">
        <v>265</v>
      </c>
      <c r="K452" s="6">
        <f>J452/J454</f>
        <v>0.61059907834101379</v>
      </c>
      <c r="L452" s="8">
        <f>265/$L$3</f>
        <v>0.61059907834101379</v>
      </c>
      <c r="N452">
        <v>59</v>
      </c>
      <c r="O452" s="6">
        <f>N452/N454</f>
        <v>0.72839506172839508</v>
      </c>
      <c r="P452" s="6">
        <f>59/$P$3</f>
        <v>0.72839506172839508</v>
      </c>
      <c r="R452">
        <v>361</v>
      </c>
      <c r="S452" s="6">
        <f>R452/R454</f>
        <v>0.64464285714285718</v>
      </c>
      <c r="T452" s="8">
        <f>361/$T$3</f>
        <v>0.64464285714285718</v>
      </c>
      <c r="V452">
        <v>418</v>
      </c>
      <c r="W452" s="6">
        <f>V452/V454</f>
        <v>0.77407407407407403</v>
      </c>
      <c r="X452" s="9">
        <f>418/$X$3</f>
        <v>0.77407407407407403</v>
      </c>
      <c r="Z452">
        <v>89</v>
      </c>
      <c r="AA452" s="6">
        <f>Z452/Z454</f>
        <v>0.78761061946902655</v>
      </c>
      <c r="AB452" s="9">
        <f>89/$AB$3</f>
        <v>0.78761061946902655</v>
      </c>
      <c r="AC452" s="7"/>
      <c r="AD452">
        <v>149</v>
      </c>
      <c r="AE452" s="6">
        <f>AD452/AD454</f>
        <v>0.75252525252525249</v>
      </c>
      <c r="AF452" s="6">
        <f>149/$AF$3</f>
        <v>0.75252525252525249</v>
      </c>
      <c r="AH452">
        <v>168</v>
      </c>
      <c r="AI452" s="6">
        <f>AH452/AH454</f>
        <v>0.68016194331983804</v>
      </c>
      <c r="AJ452" s="6">
        <f>168/$AJ$3</f>
        <v>0.68016194331983804</v>
      </c>
      <c r="AL452">
        <v>150</v>
      </c>
      <c r="AM452" s="6">
        <f>AL452/AL454</f>
        <v>0.64655172413793105</v>
      </c>
      <c r="AN452" s="8">
        <f>150/$AN$3</f>
        <v>0.64655172413793105</v>
      </c>
      <c r="AP452">
        <v>130</v>
      </c>
      <c r="AQ452" s="6">
        <f>AP452/AP454</f>
        <v>0.69892473118279574</v>
      </c>
      <c r="AR452" s="6">
        <f>130/$AR$3</f>
        <v>0.69892473118279574</v>
      </c>
      <c r="AT452">
        <v>93</v>
      </c>
      <c r="AU452" s="6">
        <f>AT452/AT454</f>
        <v>0.75</v>
      </c>
      <c r="AV452" s="6">
        <f>93/$AV$3</f>
        <v>0.75</v>
      </c>
      <c r="AX452">
        <v>295</v>
      </c>
      <c r="AY452" s="6">
        <f>AX452/AX454</f>
        <v>0.68604651162790697</v>
      </c>
      <c r="AZ452" s="6">
        <f>295/$AZ$3</f>
        <v>0.68604651162790697</v>
      </c>
      <c r="BB452">
        <v>294</v>
      </c>
      <c r="BC452" s="6">
        <f>BB452/BB454</f>
        <v>0.68691588785046731</v>
      </c>
      <c r="BD452" s="6">
        <f>294/$BD$3</f>
        <v>0.68691588785046731</v>
      </c>
      <c r="BF452">
        <v>190</v>
      </c>
      <c r="BG452" s="6">
        <f>BF452/BF454</f>
        <v>0.78512396694214881</v>
      </c>
      <c r="BH452" s="9">
        <f>190/$BH$3</f>
        <v>0.78512396694214881</v>
      </c>
      <c r="BI452" s="7" t="s">
        <v>408</v>
      </c>
      <c r="BJ452">
        <v>286</v>
      </c>
      <c r="BK452" s="6">
        <f>BJ452/BJ454</f>
        <v>0.70967741935483875</v>
      </c>
      <c r="BL452" s="6">
        <f>286/$BL$3</f>
        <v>0.70967741935483875</v>
      </c>
      <c r="BN452">
        <v>301</v>
      </c>
      <c r="BO452" s="6">
        <f>BN452/BN454</f>
        <v>0.71158392434988182</v>
      </c>
      <c r="BP452" s="6">
        <f>301/$BP$3</f>
        <v>0.71158392434988182</v>
      </c>
      <c r="BR452">
        <v>192</v>
      </c>
      <c r="BS452" s="6">
        <f>BR452/BR454</f>
        <v>0.7007299270072993</v>
      </c>
      <c r="BT452" s="6">
        <f>192/$BT$3</f>
        <v>0.7007299270072993</v>
      </c>
      <c r="BV452">
        <v>230</v>
      </c>
      <c r="BW452" s="6">
        <f>BV452/BV454</f>
        <v>0.75409836065573765</v>
      </c>
      <c r="BX452" s="6">
        <f>230/$BX$3</f>
        <v>0.75409836065573765</v>
      </c>
      <c r="BZ452">
        <v>151</v>
      </c>
      <c r="CA452" s="6">
        <f>BZ452/BZ454</f>
        <v>0.6741071428571429</v>
      </c>
      <c r="CB452" s="6">
        <f>151/$CB$3</f>
        <v>0.6741071428571429</v>
      </c>
      <c r="CD452">
        <v>161</v>
      </c>
      <c r="CE452" s="6">
        <f>CD452/CD454</f>
        <v>0.66804979253112029</v>
      </c>
      <c r="CF452" s="6">
        <f>161/$CF$3</f>
        <v>0.66804979253112029</v>
      </c>
      <c r="CH452">
        <v>237</v>
      </c>
      <c r="CI452" s="6">
        <f>CH452/CH454</f>
        <v>0.71818181818181814</v>
      </c>
      <c r="CJ452" s="6">
        <f>237/$CJ$3</f>
        <v>0.71818181818181814</v>
      </c>
    </row>
    <row r="453" spans="1:88" x14ac:dyDescent="0.35">
      <c r="A453" s="1" t="s">
        <v>409</v>
      </c>
      <c r="B453">
        <v>0</v>
      </c>
      <c r="C453" s="6">
        <f>B453/B454</f>
        <v>0</v>
      </c>
      <c r="D453" s="6">
        <f>0/$D$3</f>
        <v>0</v>
      </c>
      <c r="F453">
        <v>0</v>
      </c>
      <c r="G453" s="6">
        <f>F453/F454</f>
        <v>0</v>
      </c>
      <c r="H453" s="6">
        <f>0/$H$3</f>
        <v>0</v>
      </c>
      <c r="J453">
        <v>0</v>
      </c>
      <c r="K453" s="6">
        <f>J453/J454</f>
        <v>0</v>
      </c>
      <c r="L453" s="6">
        <f>0/$L$3</f>
        <v>0</v>
      </c>
      <c r="N453">
        <v>0</v>
      </c>
      <c r="O453" s="6">
        <f>N453/N454</f>
        <v>0</v>
      </c>
      <c r="P453" s="6">
        <f>0/$P$3</f>
        <v>0</v>
      </c>
      <c r="R453">
        <v>0</v>
      </c>
      <c r="S453" s="6">
        <f>R453/R454</f>
        <v>0</v>
      </c>
      <c r="T453" s="6">
        <f>0/$T$3</f>
        <v>0</v>
      </c>
      <c r="V453">
        <v>0</v>
      </c>
      <c r="W453" s="6">
        <f>V453/V454</f>
        <v>0</v>
      </c>
      <c r="X453" s="6">
        <f>0/$X$3</f>
        <v>0</v>
      </c>
      <c r="Z453">
        <v>0</v>
      </c>
      <c r="AA453" s="6">
        <f>Z453/Z454</f>
        <v>0</v>
      </c>
      <c r="AB453" s="6">
        <f>0/$AB$3</f>
        <v>0</v>
      </c>
      <c r="AD453">
        <v>0</v>
      </c>
      <c r="AE453" s="6">
        <f>AD453/AD454</f>
        <v>0</v>
      </c>
      <c r="AF453" s="6">
        <f>0/$AF$3</f>
        <v>0</v>
      </c>
      <c r="AH453">
        <v>0</v>
      </c>
      <c r="AI453" s="6">
        <f>AH453/AH454</f>
        <v>0</v>
      </c>
      <c r="AJ453" s="6">
        <f>0/$AJ$3</f>
        <v>0</v>
      </c>
      <c r="AL453">
        <v>0</v>
      </c>
      <c r="AM453" s="6">
        <f>AL453/AL454</f>
        <v>0</v>
      </c>
      <c r="AN453" s="6">
        <f>0/$AN$3</f>
        <v>0</v>
      </c>
      <c r="AP453">
        <v>0</v>
      </c>
      <c r="AQ453" s="6">
        <f>AP453/AP454</f>
        <v>0</v>
      </c>
      <c r="AR453" s="6">
        <f>0/$AR$3</f>
        <v>0</v>
      </c>
      <c r="AT453">
        <v>0</v>
      </c>
      <c r="AU453" s="6">
        <f>AT453/AT454</f>
        <v>0</v>
      </c>
      <c r="AV453" s="6">
        <f>0/$AV$3</f>
        <v>0</v>
      </c>
      <c r="AX453">
        <v>0</v>
      </c>
      <c r="AY453" s="6">
        <f>AX453/AX454</f>
        <v>0</v>
      </c>
      <c r="AZ453" s="6">
        <f>0/$AZ$3</f>
        <v>0</v>
      </c>
      <c r="BB453">
        <v>0</v>
      </c>
      <c r="BC453" s="6">
        <f>BB453/BB454</f>
        <v>0</v>
      </c>
      <c r="BD453" s="6">
        <f>0/$BD$3</f>
        <v>0</v>
      </c>
      <c r="BF453">
        <v>0</v>
      </c>
      <c r="BG453" s="6">
        <f>BF453/BF454</f>
        <v>0</v>
      </c>
      <c r="BH453" s="6">
        <f>0/$BH$3</f>
        <v>0</v>
      </c>
      <c r="BJ453">
        <v>0</v>
      </c>
      <c r="BK453" s="6">
        <f>BJ453/BJ454</f>
        <v>0</v>
      </c>
      <c r="BL453" s="6">
        <f>0/$BL$3</f>
        <v>0</v>
      </c>
      <c r="BN453">
        <v>0</v>
      </c>
      <c r="BO453" s="6">
        <f>BN453/BN454</f>
        <v>0</v>
      </c>
      <c r="BP453" s="6">
        <f>0/$BP$3</f>
        <v>0</v>
      </c>
      <c r="BR453">
        <v>0</v>
      </c>
      <c r="BS453" s="6">
        <f>BR453/BR454</f>
        <v>0</v>
      </c>
      <c r="BT453" s="6">
        <f>0/$BT$3</f>
        <v>0</v>
      </c>
      <c r="BV453">
        <v>0</v>
      </c>
      <c r="BW453" s="6">
        <f>BV453/BV454</f>
        <v>0</v>
      </c>
      <c r="BX453" s="6">
        <f>0/$BX$3</f>
        <v>0</v>
      </c>
      <c r="BZ453">
        <v>0</v>
      </c>
      <c r="CA453" s="6">
        <f>BZ453/BZ454</f>
        <v>0</v>
      </c>
      <c r="CB453" s="6">
        <f>0/$CB$3</f>
        <v>0</v>
      </c>
      <c r="CD453">
        <v>0</v>
      </c>
      <c r="CE453" s="6">
        <f>CD453/CD454</f>
        <v>0</v>
      </c>
      <c r="CF453" s="6">
        <f>0/$CF$3</f>
        <v>0</v>
      </c>
      <c r="CH453">
        <v>0</v>
      </c>
      <c r="CI453" s="6">
        <f>CH453/CH454</f>
        <v>0</v>
      </c>
      <c r="CJ453" s="6">
        <f>0/$CJ$3</f>
        <v>0</v>
      </c>
    </row>
    <row r="454" spans="1:88" s="10" customFormat="1" x14ac:dyDescent="0.35">
      <c r="A454" s="11" t="s">
        <v>411</v>
      </c>
      <c r="B454" s="10">
        <v>1100</v>
      </c>
      <c r="F454" s="10">
        <v>911</v>
      </c>
      <c r="J454" s="10">
        <v>434</v>
      </c>
      <c r="N454" s="10">
        <v>81</v>
      </c>
      <c r="R454" s="10">
        <v>560</v>
      </c>
      <c r="V454" s="10">
        <v>540</v>
      </c>
      <c r="Z454" s="10">
        <v>113</v>
      </c>
      <c r="AD454" s="10">
        <v>198</v>
      </c>
      <c r="AH454" s="10">
        <v>247</v>
      </c>
      <c r="AL454" s="10">
        <v>232</v>
      </c>
      <c r="AP454" s="10">
        <v>186</v>
      </c>
      <c r="AT454" s="10">
        <v>124</v>
      </c>
      <c r="AX454" s="10">
        <v>430</v>
      </c>
      <c r="BB454" s="10">
        <v>428</v>
      </c>
      <c r="BF454" s="10">
        <v>242</v>
      </c>
      <c r="BJ454" s="10">
        <v>403</v>
      </c>
      <c r="BN454" s="10">
        <v>423</v>
      </c>
      <c r="BR454" s="10">
        <v>274</v>
      </c>
      <c r="BV454" s="10">
        <v>305</v>
      </c>
      <c r="BZ454" s="10">
        <v>224</v>
      </c>
      <c r="CD454" s="10">
        <v>241</v>
      </c>
      <c r="CH454" s="10">
        <v>330</v>
      </c>
    </row>
    <row r="455" spans="1:88" hidden="1" x14ac:dyDescent="0.35">
      <c r="A455" s="12" t="s">
        <v>412</v>
      </c>
      <c r="B455">
        <v>0</v>
      </c>
      <c r="F455">
        <v>0</v>
      </c>
      <c r="J455">
        <v>0</v>
      </c>
      <c r="N455">
        <v>0</v>
      </c>
      <c r="R455">
        <v>0</v>
      </c>
      <c r="V455">
        <v>0</v>
      </c>
      <c r="Z455">
        <v>0</v>
      </c>
      <c r="AD455">
        <v>0</v>
      </c>
      <c r="AH455">
        <v>0</v>
      </c>
      <c r="AL455">
        <v>0</v>
      </c>
      <c r="AP455">
        <v>0</v>
      </c>
      <c r="AT455">
        <v>0</v>
      </c>
      <c r="AX455">
        <v>0</v>
      </c>
      <c r="BB455">
        <v>0</v>
      </c>
      <c r="BF455">
        <v>0</v>
      </c>
      <c r="BJ455">
        <v>0</v>
      </c>
      <c r="BN455">
        <v>0</v>
      </c>
      <c r="BR455">
        <v>0</v>
      </c>
      <c r="BV455">
        <v>0</v>
      </c>
      <c r="BZ455">
        <v>0</v>
      </c>
      <c r="CD455">
        <v>0</v>
      </c>
      <c r="CH455">
        <v>0</v>
      </c>
    </row>
    <row r="456" spans="1:88" hidden="1" x14ac:dyDescent="0.35">
      <c r="A456" s="12" t="s">
        <v>413</v>
      </c>
      <c r="B456">
        <v>0</v>
      </c>
      <c r="F456">
        <v>0</v>
      </c>
      <c r="J456">
        <v>0</v>
      </c>
      <c r="N456">
        <v>0</v>
      </c>
      <c r="R456">
        <v>0</v>
      </c>
      <c r="V456">
        <v>0</v>
      </c>
      <c r="Z456">
        <v>0</v>
      </c>
      <c r="AD456">
        <v>0</v>
      </c>
      <c r="AH456">
        <v>0</v>
      </c>
      <c r="AL456">
        <v>0</v>
      </c>
      <c r="AP456">
        <v>0</v>
      </c>
      <c r="AT456">
        <v>0</v>
      </c>
      <c r="AX456">
        <v>0</v>
      </c>
      <c r="BB456">
        <v>0</v>
      </c>
      <c r="BF456">
        <v>0</v>
      </c>
      <c r="BJ456">
        <v>0</v>
      </c>
      <c r="BN456">
        <v>0</v>
      </c>
      <c r="BR456">
        <v>0</v>
      </c>
      <c r="BV456">
        <v>0</v>
      </c>
      <c r="BZ456">
        <v>0</v>
      </c>
      <c r="CD456">
        <v>0</v>
      </c>
      <c r="CH456">
        <v>0</v>
      </c>
    </row>
    <row r="458" spans="1:88" x14ac:dyDescent="0.35">
      <c r="AB458" s="2" t="s">
        <v>3</v>
      </c>
      <c r="AF458" s="2" t="s">
        <v>4</v>
      </c>
      <c r="AJ458" s="2" t="s">
        <v>5</v>
      </c>
      <c r="AN458" s="2" t="s">
        <v>6</v>
      </c>
      <c r="AR458" s="2" t="s">
        <v>7</v>
      </c>
      <c r="AV458" s="2" t="s">
        <v>8</v>
      </c>
      <c r="AZ458" s="2" t="s">
        <v>3</v>
      </c>
      <c r="BD458" s="2" t="s">
        <v>4</v>
      </c>
      <c r="BH458" s="2" t="s">
        <v>5</v>
      </c>
      <c r="BL458" s="2" t="s">
        <v>3</v>
      </c>
      <c r="BP458" s="2" t="s">
        <v>4</v>
      </c>
      <c r="BT458" s="2" t="s">
        <v>5</v>
      </c>
      <c r="BX458" s="2" t="s">
        <v>3</v>
      </c>
      <c r="CB458" s="2" t="s">
        <v>4</v>
      </c>
      <c r="CF458" s="2" t="s">
        <v>5</v>
      </c>
      <c r="CJ458" s="2" t="s">
        <v>6</v>
      </c>
    </row>
    <row r="459" spans="1:88" s="3" customFormat="1" x14ac:dyDescent="0.35">
      <c r="A459" s="4" t="str">
        <f>HYPERLINK("#lepsitv_emo!A1","Jaký pocit ze značky **Lepší.TV** máte?")</f>
        <v>Jaký pocit ze značky **Lepší.TV** máte?</v>
      </c>
      <c r="D459" s="5" t="s">
        <v>406</v>
      </c>
      <c r="H459" s="5" t="s">
        <v>406</v>
      </c>
      <c r="L459" s="5" t="s">
        <v>406</v>
      </c>
      <c r="P459" s="5" t="s">
        <v>406</v>
      </c>
      <c r="T459" s="5" t="s">
        <v>406</v>
      </c>
      <c r="X459" s="5" t="s">
        <v>406</v>
      </c>
      <c r="AB459" s="5" t="s">
        <v>406</v>
      </c>
      <c r="AF459" s="5" t="s">
        <v>406</v>
      </c>
      <c r="AJ459" s="5" t="s">
        <v>406</v>
      </c>
      <c r="AN459" s="5" t="s">
        <v>406</v>
      </c>
      <c r="AR459" s="5" t="s">
        <v>406</v>
      </c>
      <c r="AV459" s="5" t="s">
        <v>406</v>
      </c>
      <c r="AZ459" s="5" t="s">
        <v>406</v>
      </c>
      <c r="BD459" s="5" t="s">
        <v>406</v>
      </c>
      <c r="BH459" s="5" t="s">
        <v>406</v>
      </c>
      <c r="BL459" s="5" t="s">
        <v>406</v>
      </c>
      <c r="BP459" s="5" t="s">
        <v>406</v>
      </c>
      <c r="BT459" s="5" t="s">
        <v>406</v>
      </c>
      <c r="BX459" s="5" t="s">
        <v>406</v>
      </c>
      <c r="CB459" s="5" t="s">
        <v>406</v>
      </c>
      <c r="CF459" s="5" t="s">
        <v>406</v>
      </c>
      <c r="CJ459" s="5" t="s">
        <v>406</v>
      </c>
    </row>
    <row r="460" spans="1:88" x14ac:dyDescent="0.35">
      <c r="A460" s="1" t="s">
        <v>628</v>
      </c>
      <c r="B460">
        <v>41</v>
      </c>
      <c r="C460" s="6">
        <f>B460/B466</f>
        <v>0.1277258566978193</v>
      </c>
      <c r="D460" s="6">
        <f>41/$D$3</f>
        <v>3.727272727272727E-2</v>
      </c>
      <c r="F460">
        <v>39</v>
      </c>
      <c r="G460" s="6">
        <f>F460/F466</f>
        <v>0.13402061855670103</v>
      </c>
      <c r="H460" s="6">
        <f>39/$H$3</f>
        <v>4.2810098792535674E-2</v>
      </c>
      <c r="J460">
        <v>27</v>
      </c>
      <c r="K460" s="6">
        <f>J460/J466</f>
        <v>0.15976331360946747</v>
      </c>
      <c r="L460" s="6">
        <f>27/$L$3</f>
        <v>6.2211981566820278E-2</v>
      </c>
      <c r="N460">
        <v>3</v>
      </c>
      <c r="O460" s="6">
        <f>N460/N466</f>
        <v>0.13636363636363635</v>
      </c>
      <c r="P460" s="6">
        <f>3/$P$3</f>
        <v>3.7037037037037035E-2</v>
      </c>
      <c r="R460">
        <v>25</v>
      </c>
      <c r="S460" s="6">
        <f>R460/R466</f>
        <v>0.12562814070351758</v>
      </c>
      <c r="T460" s="6">
        <f>25/$T$3</f>
        <v>4.4642857142857144E-2</v>
      </c>
      <c r="V460">
        <v>16</v>
      </c>
      <c r="W460" s="6">
        <f>V460/V466</f>
        <v>0.13114754098360656</v>
      </c>
      <c r="X460" s="6">
        <f>16/$X$3</f>
        <v>2.9629629629629631E-2</v>
      </c>
      <c r="Z460">
        <v>5</v>
      </c>
      <c r="AA460" s="6">
        <f>Z460/Z466</f>
        <v>0.20833333333333334</v>
      </c>
      <c r="AB460" s="6">
        <f>5/$AB$3</f>
        <v>4.4247787610619468E-2</v>
      </c>
      <c r="AD460">
        <v>3</v>
      </c>
      <c r="AE460" s="6">
        <f>AD460/AD466</f>
        <v>6.1224489795918366E-2</v>
      </c>
      <c r="AF460" s="6">
        <f>3/$AF$3</f>
        <v>1.5151515151515152E-2</v>
      </c>
      <c r="AH460">
        <v>11</v>
      </c>
      <c r="AI460" s="6">
        <f>AH460/AH466</f>
        <v>0.13924050632911392</v>
      </c>
      <c r="AJ460" s="6">
        <f>11/$AJ$3</f>
        <v>4.4534412955465584E-2</v>
      </c>
      <c r="AL460">
        <v>8</v>
      </c>
      <c r="AM460" s="6">
        <f>AL460/AL466</f>
        <v>9.7560975609756101E-2</v>
      </c>
      <c r="AN460" s="6">
        <f>8/$AN$3</f>
        <v>3.4482758620689655E-2</v>
      </c>
      <c r="AP460">
        <v>9</v>
      </c>
      <c r="AQ460" s="6">
        <f>AP460/AP466</f>
        <v>0.16071428571428573</v>
      </c>
      <c r="AR460" s="6">
        <f>9/$AR$3</f>
        <v>4.8387096774193547E-2</v>
      </c>
      <c r="AT460">
        <v>5</v>
      </c>
      <c r="AU460" s="6">
        <f>AT460/AT466</f>
        <v>0.16129032258064516</v>
      </c>
      <c r="AV460" s="6">
        <f>5/$AV$3</f>
        <v>4.0322580645161289E-2</v>
      </c>
      <c r="AX460">
        <v>24</v>
      </c>
      <c r="AY460" s="6">
        <f>AX460/AX466</f>
        <v>0.17777777777777778</v>
      </c>
      <c r="AZ460" s="6">
        <f>24/$AZ$3</f>
        <v>5.5813953488372092E-2</v>
      </c>
      <c r="BB460">
        <v>13</v>
      </c>
      <c r="BC460" s="6">
        <f>BB460/BB466</f>
        <v>9.7014925373134331E-2</v>
      </c>
      <c r="BD460" s="6">
        <f>13/$BD$3</f>
        <v>3.0373831775700934E-2</v>
      </c>
      <c r="BF460">
        <v>4</v>
      </c>
      <c r="BG460" s="6">
        <f>BF460/BF466</f>
        <v>7.6923076923076927E-2</v>
      </c>
      <c r="BH460" s="6">
        <f>4/$BH$3</f>
        <v>1.6528925619834711E-2</v>
      </c>
      <c r="BJ460">
        <v>15</v>
      </c>
      <c r="BK460" s="6">
        <f>BJ460/BJ466</f>
        <v>0.12820512820512819</v>
      </c>
      <c r="BL460" s="6">
        <f>15/$BL$3</f>
        <v>3.7220843672456573E-2</v>
      </c>
      <c r="BN460">
        <v>13</v>
      </c>
      <c r="BO460" s="6">
        <f>BN460/BN466</f>
        <v>0.10655737704918032</v>
      </c>
      <c r="BP460" s="6">
        <f>13/$BP$3</f>
        <v>3.0732860520094562E-2</v>
      </c>
      <c r="BR460">
        <v>13</v>
      </c>
      <c r="BS460" s="6">
        <f>BR460/BR466</f>
        <v>0.15853658536585366</v>
      </c>
      <c r="BT460" s="6">
        <f>13/$BT$3</f>
        <v>4.7445255474452552E-2</v>
      </c>
      <c r="BV460">
        <v>11</v>
      </c>
      <c r="BW460" s="6">
        <f>BV460/BV466</f>
        <v>0.14666666666666667</v>
      </c>
      <c r="BX460" s="6">
        <f>11/$BX$3</f>
        <v>3.6065573770491806E-2</v>
      </c>
      <c r="BZ460">
        <v>11</v>
      </c>
      <c r="CA460" s="6">
        <f>BZ460/BZ466</f>
        <v>0.15068493150684931</v>
      </c>
      <c r="CB460" s="6">
        <f>11/$CB$3</f>
        <v>4.9107142857142856E-2</v>
      </c>
      <c r="CD460">
        <v>7</v>
      </c>
      <c r="CE460" s="6">
        <f>CD460/CD466</f>
        <v>8.7499999999999994E-2</v>
      </c>
      <c r="CF460" s="6">
        <f>7/$CF$3</f>
        <v>2.9045643153526972E-2</v>
      </c>
      <c r="CH460">
        <v>12</v>
      </c>
      <c r="CI460" s="6">
        <f>CH460/CH466</f>
        <v>0.12903225806451613</v>
      </c>
      <c r="CJ460" s="6">
        <f>12/$CJ$3</f>
        <v>3.6363636363636362E-2</v>
      </c>
    </row>
    <row r="461" spans="1:88" x14ac:dyDescent="0.35">
      <c r="A461" s="1" t="s">
        <v>630</v>
      </c>
      <c r="B461">
        <v>102</v>
      </c>
      <c r="C461" s="6">
        <f>B461/B466</f>
        <v>0.31775700934579437</v>
      </c>
      <c r="D461" s="6">
        <f>102/$D$3</f>
        <v>9.2727272727272728E-2</v>
      </c>
      <c r="F461">
        <v>92</v>
      </c>
      <c r="G461" s="6">
        <f>F461/F466</f>
        <v>0.31615120274914088</v>
      </c>
      <c r="H461" s="6">
        <f>92/$H$3</f>
        <v>0.10098792535675083</v>
      </c>
      <c r="J461">
        <v>53</v>
      </c>
      <c r="K461" s="6">
        <f>J461/J466</f>
        <v>0.31360946745562129</v>
      </c>
      <c r="L461" s="6">
        <f>53/$L$3</f>
        <v>0.12211981566820276</v>
      </c>
      <c r="N461">
        <v>11</v>
      </c>
      <c r="O461" s="6">
        <f>N461/N466</f>
        <v>0.5</v>
      </c>
      <c r="P461" s="6">
        <f>11/$P$3</f>
        <v>0.13580246913580246</v>
      </c>
      <c r="R461">
        <v>61</v>
      </c>
      <c r="S461" s="6">
        <f>R461/R466</f>
        <v>0.30653266331658291</v>
      </c>
      <c r="T461" s="6">
        <f>61/$T$3</f>
        <v>0.10892857142857143</v>
      </c>
      <c r="V461">
        <v>41</v>
      </c>
      <c r="W461" s="6">
        <f>V461/V466</f>
        <v>0.33606557377049179</v>
      </c>
      <c r="X461" s="6">
        <f>41/$X$3</f>
        <v>7.5925925925925924E-2</v>
      </c>
      <c r="Z461">
        <v>7</v>
      </c>
      <c r="AA461" s="6">
        <f>Z461/Z466</f>
        <v>0.29166666666666669</v>
      </c>
      <c r="AB461" s="6">
        <f>7/$AB$3</f>
        <v>6.1946902654867256E-2</v>
      </c>
      <c r="AD461">
        <v>14</v>
      </c>
      <c r="AE461" s="6">
        <f>AD461/AD466</f>
        <v>0.2857142857142857</v>
      </c>
      <c r="AF461" s="6">
        <f>14/$AF$3</f>
        <v>7.0707070707070704E-2</v>
      </c>
      <c r="AH461">
        <v>25</v>
      </c>
      <c r="AI461" s="6">
        <f>AH461/AH466</f>
        <v>0.31645569620253167</v>
      </c>
      <c r="AJ461" s="6">
        <f>25/$AJ$3</f>
        <v>0.10121457489878542</v>
      </c>
      <c r="AL461">
        <v>32</v>
      </c>
      <c r="AM461" s="6">
        <f>AL461/AL466</f>
        <v>0.3902439024390244</v>
      </c>
      <c r="AN461" s="6">
        <f>32/$AN$3</f>
        <v>0.13793103448275862</v>
      </c>
      <c r="AP461">
        <v>12</v>
      </c>
      <c r="AQ461" s="6">
        <f>AP461/AP466</f>
        <v>0.21428571428571427</v>
      </c>
      <c r="AR461" s="6">
        <f>12/$AR$3</f>
        <v>6.4516129032258063E-2</v>
      </c>
      <c r="AT461">
        <v>12</v>
      </c>
      <c r="AU461" s="6">
        <f>AT461/AT466</f>
        <v>0.38709677419354838</v>
      </c>
      <c r="AV461" s="6">
        <f>12/$AV$3</f>
        <v>9.6774193548387094E-2</v>
      </c>
      <c r="AX461">
        <v>43</v>
      </c>
      <c r="AY461" s="6">
        <f>AX461/AX466</f>
        <v>0.31851851851851853</v>
      </c>
      <c r="AZ461" s="6">
        <f>43/$AZ$3</f>
        <v>0.1</v>
      </c>
      <c r="BB461">
        <v>47</v>
      </c>
      <c r="BC461" s="6">
        <f>BB461/BB466</f>
        <v>0.35074626865671643</v>
      </c>
      <c r="BD461" s="6">
        <f>47/$BD$3</f>
        <v>0.10981308411214953</v>
      </c>
      <c r="BF461">
        <v>12</v>
      </c>
      <c r="BG461" s="6">
        <f>BF461/BF466</f>
        <v>0.23076923076923078</v>
      </c>
      <c r="BH461" s="6">
        <f>12/$BH$3</f>
        <v>4.9586776859504134E-2</v>
      </c>
      <c r="BJ461">
        <v>44</v>
      </c>
      <c r="BK461" s="6">
        <f>BJ461/BJ466</f>
        <v>0.37606837606837606</v>
      </c>
      <c r="BL461" s="6">
        <f>44/$BL$3</f>
        <v>0.10918114143920596</v>
      </c>
      <c r="BN461">
        <v>34</v>
      </c>
      <c r="BO461" s="6">
        <f>BN461/BN466</f>
        <v>0.27868852459016391</v>
      </c>
      <c r="BP461" s="6">
        <f>34/$BP$3</f>
        <v>8.0378250591016553E-2</v>
      </c>
      <c r="BR461">
        <v>24</v>
      </c>
      <c r="BS461" s="6">
        <f>BR461/BR466</f>
        <v>0.29268292682926828</v>
      </c>
      <c r="BT461" s="6">
        <f>24/$BT$3</f>
        <v>8.7591240875912413E-2</v>
      </c>
      <c r="BV461">
        <v>24</v>
      </c>
      <c r="BW461" s="6">
        <f>BV461/BV466</f>
        <v>0.32</v>
      </c>
      <c r="BX461" s="6">
        <f>24/$BX$3</f>
        <v>7.8688524590163941E-2</v>
      </c>
      <c r="BZ461">
        <v>22</v>
      </c>
      <c r="CA461" s="6">
        <f>BZ461/BZ466</f>
        <v>0.30136986301369861</v>
      </c>
      <c r="CB461" s="6">
        <f>22/$CB$3</f>
        <v>9.8214285714285712E-2</v>
      </c>
      <c r="CD461">
        <v>30</v>
      </c>
      <c r="CE461" s="6">
        <f>CD461/CD466</f>
        <v>0.375</v>
      </c>
      <c r="CF461" s="6">
        <f>30/$CF$3</f>
        <v>0.12448132780082988</v>
      </c>
      <c r="CH461">
        <v>26</v>
      </c>
      <c r="CI461" s="6">
        <f>CH461/CH466</f>
        <v>0.27956989247311825</v>
      </c>
      <c r="CJ461" s="6">
        <f>26/$CJ$3</f>
        <v>7.8787878787878782E-2</v>
      </c>
    </row>
    <row r="462" spans="1:88" x14ac:dyDescent="0.35">
      <c r="A462" s="1" t="s">
        <v>637</v>
      </c>
      <c r="B462">
        <v>154</v>
      </c>
      <c r="C462" s="6">
        <f>B462/B466</f>
        <v>0.47975077881619937</v>
      </c>
      <c r="D462" s="6">
        <f>154/$D$3</f>
        <v>0.14000000000000001</v>
      </c>
      <c r="F462">
        <v>137</v>
      </c>
      <c r="G462" s="6">
        <f>F462/F466</f>
        <v>0.47079037800687284</v>
      </c>
      <c r="H462" s="6">
        <f>137/$H$3</f>
        <v>0.150384193194292</v>
      </c>
      <c r="J462">
        <v>79</v>
      </c>
      <c r="K462" s="6">
        <f>J462/J466</f>
        <v>0.46745562130177515</v>
      </c>
      <c r="L462" s="6">
        <f>79/$L$3</f>
        <v>0.18202764976958524</v>
      </c>
      <c r="N462">
        <v>6</v>
      </c>
      <c r="O462" s="6">
        <f>N462/N466</f>
        <v>0.27272727272727271</v>
      </c>
      <c r="P462" s="6">
        <f>6/$P$3</f>
        <v>7.407407407407407E-2</v>
      </c>
      <c r="R462">
        <v>97</v>
      </c>
      <c r="S462" s="6">
        <f>R462/R466</f>
        <v>0.48743718592964824</v>
      </c>
      <c r="T462" s="6">
        <f>97/$T$3</f>
        <v>0.17321428571428571</v>
      </c>
      <c r="V462">
        <v>57</v>
      </c>
      <c r="W462" s="6">
        <f>V462/V466</f>
        <v>0.46721311475409838</v>
      </c>
      <c r="X462" s="6">
        <f>57/$X$3</f>
        <v>0.10555555555555556</v>
      </c>
      <c r="Z462">
        <v>8</v>
      </c>
      <c r="AA462" s="6">
        <f>Z462/Z466</f>
        <v>0.33333333333333331</v>
      </c>
      <c r="AB462" s="8">
        <f>8/$AB$3</f>
        <v>7.0796460176991149E-2</v>
      </c>
      <c r="AD462">
        <v>29</v>
      </c>
      <c r="AE462" s="6">
        <f>AD462/AD466</f>
        <v>0.59183673469387754</v>
      </c>
      <c r="AF462" s="6">
        <f>29/$AF$3</f>
        <v>0.14646464646464646</v>
      </c>
      <c r="AH462">
        <v>36</v>
      </c>
      <c r="AI462" s="6">
        <f>AH462/AH466</f>
        <v>0.45569620253164556</v>
      </c>
      <c r="AJ462" s="6">
        <f>36/$AJ$3</f>
        <v>0.145748987854251</v>
      </c>
      <c r="AL462">
        <v>37</v>
      </c>
      <c r="AM462" s="6">
        <f>AL462/AL466</f>
        <v>0.45121951219512196</v>
      </c>
      <c r="AN462" s="6">
        <f>37/$AN$3</f>
        <v>0.15948275862068967</v>
      </c>
      <c r="AP462">
        <v>31</v>
      </c>
      <c r="AQ462" s="6">
        <f>AP462/AP466</f>
        <v>0.5535714285714286</v>
      </c>
      <c r="AR462" s="6">
        <f>31/$AR$3</f>
        <v>0.16666666666666666</v>
      </c>
      <c r="AT462">
        <v>13</v>
      </c>
      <c r="AU462" s="6">
        <f>AT462/AT466</f>
        <v>0.41935483870967744</v>
      </c>
      <c r="AV462" s="6">
        <f>13/$AV$3</f>
        <v>0.10483870967741936</v>
      </c>
      <c r="AX462">
        <v>60</v>
      </c>
      <c r="AY462" s="6">
        <f>AX462/AX466</f>
        <v>0.44444444444444442</v>
      </c>
      <c r="AZ462" s="6">
        <f>60/$AZ$3</f>
        <v>0.13953488372093023</v>
      </c>
      <c r="BB462">
        <v>64</v>
      </c>
      <c r="BC462" s="6">
        <f>BB462/BB466</f>
        <v>0.47761194029850745</v>
      </c>
      <c r="BD462" s="6">
        <f>64/$BD$3</f>
        <v>0.14953271028037382</v>
      </c>
      <c r="BF462">
        <v>30</v>
      </c>
      <c r="BG462" s="6">
        <f>BF462/BF466</f>
        <v>0.57692307692307687</v>
      </c>
      <c r="BH462" s="6">
        <f>30/$BH$3</f>
        <v>0.12396694214876033</v>
      </c>
      <c r="BJ462">
        <v>54</v>
      </c>
      <c r="BK462" s="6">
        <f>BJ462/BJ466</f>
        <v>0.46153846153846156</v>
      </c>
      <c r="BL462" s="6">
        <f>54/$BL$3</f>
        <v>0.13399503722084366</v>
      </c>
      <c r="BN462">
        <v>60</v>
      </c>
      <c r="BO462" s="6">
        <f>BN462/BN466</f>
        <v>0.49180327868852458</v>
      </c>
      <c r="BP462" s="6">
        <f>60/$BP$3</f>
        <v>0.14184397163120568</v>
      </c>
      <c r="BR462">
        <v>40</v>
      </c>
      <c r="BS462" s="6">
        <f>BR462/BR466</f>
        <v>0.48780487804878048</v>
      </c>
      <c r="BT462" s="6">
        <f>40/$BT$3</f>
        <v>0.145985401459854</v>
      </c>
      <c r="BV462">
        <v>36</v>
      </c>
      <c r="BW462" s="6">
        <f>BV462/BV466</f>
        <v>0.48</v>
      </c>
      <c r="BX462" s="6">
        <f>36/$BX$3</f>
        <v>0.11803278688524591</v>
      </c>
      <c r="BZ462">
        <v>35</v>
      </c>
      <c r="CA462" s="6">
        <f>BZ462/BZ466</f>
        <v>0.47945205479452052</v>
      </c>
      <c r="CB462" s="6">
        <f>35/$CB$3</f>
        <v>0.15625</v>
      </c>
      <c r="CD462">
        <v>37</v>
      </c>
      <c r="CE462" s="6">
        <f>CD462/CD466</f>
        <v>0.46250000000000002</v>
      </c>
      <c r="CF462" s="6">
        <f>37/$CF$3</f>
        <v>0.15352697095435686</v>
      </c>
      <c r="CH462">
        <v>46</v>
      </c>
      <c r="CI462" s="6">
        <f>CH462/CH466</f>
        <v>0.4946236559139785</v>
      </c>
      <c r="CJ462" s="6">
        <f>46/$CJ$3</f>
        <v>0.1393939393939394</v>
      </c>
    </row>
    <row r="463" spans="1:88" x14ac:dyDescent="0.35">
      <c r="A463" s="1" t="s">
        <v>632</v>
      </c>
      <c r="B463">
        <v>19</v>
      </c>
      <c r="C463" s="6">
        <f>B463/B466</f>
        <v>5.9190031152647975E-2</v>
      </c>
      <c r="D463" s="6">
        <f>19/$D$3</f>
        <v>1.7272727272727273E-2</v>
      </c>
      <c r="F463">
        <v>19</v>
      </c>
      <c r="G463" s="6">
        <f>F463/F466</f>
        <v>6.5292096219931275E-2</v>
      </c>
      <c r="H463" s="6">
        <f>19/$H$3</f>
        <v>2.0856201975850714E-2</v>
      </c>
      <c r="J463">
        <v>7</v>
      </c>
      <c r="K463" s="6">
        <f>J463/J466</f>
        <v>4.142011834319527E-2</v>
      </c>
      <c r="L463" s="6">
        <f>7/$L$3</f>
        <v>1.6129032258064516E-2</v>
      </c>
      <c r="N463">
        <v>2</v>
      </c>
      <c r="O463" s="6">
        <f>N463/N466</f>
        <v>9.0909090909090912E-2</v>
      </c>
      <c r="P463" s="6">
        <f>2/$P$3</f>
        <v>2.4691358024691357E-2</v>
      </c>
      <c r="R463">
        <v>13</v>
      </c>
      <c r="S463" s="6">
        <f>R463/R466</f>
        <v>6.5326633165829151E-2</v>
      </c>
      <c r="T463" s="6">
        <f>13/$T$3</f>
        <v>2.3214285714285715E-2</v>
      </c>
      <c r="V463">
        <v>6</v>
      </c>
      <c r="W463" s="6">
        <f>V463/V466</f>
        <v>4.9180327868852458E-2</v>
      </c>
      <c r="X463" s="6">
        <f>6/$X$3</f>
        <v>1.1111111111111112E-2</v>
      </c>
      <c r="Z463">
        <v>4</v>
      </c>
      <c r="AA463" s="6">
        <f>Z463/Z466</f>
        <v>0.16666666666666666</v>
      </c>
      <c r="AB463" s="6">
        <f>4/$AB$3</f>
        <v>3.5398230088495575E-2</v>
      </c>
      <c r="AD463">
        <v>2</v>
      </c>
      <c r="AE463" s="6">
        <f>AD463/AD466</f>
        <v>4.0816326530612242E-2</v>
      </c>
      <c r="AF463" s="6">
        <f>2/$AF$3</f>
        <v>1.0101010101010102E-2</v>
      </c>
      <c r="AH463">
        <v>6</v>
      </c>
      <c r="AI463" s="6">
        <f>AH463/AH466</f>
        <v>7.5949367088607597E-2</v>
      </c>
      <c r="AJ463" s="6">
        <f>6/$AJ$3</f>
        <v>2.4291497975708502E-2</v>
      </c>
      <c r="AL463">
        <v>4</v>
      </c>
      <c r="AM463" s="6">
        <f>AL463/AL466</f>
        <v>4.878048780487805E-2</v>
      </c>
      <c r="AN463" s="6">
        <f>4/$AN$3</f>
        <v>1.7241379310344827E-2</v>
      </c>
      <c r="AP463">
        <v>3</v>
      </c>
      <c r="AQ463" s="6">
        <f>AP463/AP466</f>
        <v>5.3571428571428568E-2</v>
      </c>
      <c r="AR463" s="6">
        <f>3/$AR$3</f>
        <v>1.6129032258064516E-2</v>
      </c>
      <c r="AT463">
        <v>0</v>
      </c>
      <c r="AU463" s="6">
        <f>AT463/AT466</f>
        <v>0</v>
      </c>
      <c r="AV463" s="6">
        <f>0/$AV$3</f>
        <v>0</v>
      </c>
      <c r="AX463">
        <v>6</v>
      </c>
      <c r="AY463" s="6">
        <f>AX463/AX466</f>
        <v>4.4444444444444446E-2</v>
      </c>
      <c r="AZ463" s="6">
        <f>6/$AZ$3</f>
        <v>1.3953488372093023E-2</v>
      </c>
      <c r="BB463">
        <v>8</v>
      </c>
      <c r="BC463" s="6">
        <f>BB463/BB466</f>
        <v>5.9701492537313432E-2</v>
      </c>
      <c r="BD463" s="6">
        <f>8/$BD$3</f>
        <v>1.8691588785046728E-2</v>
      </c>
      <c r="BF463">
        <v>5</v>
      </c>
      <c r="BG463" s="6">
        <f>BF463/BF466</f>
        <v>9.6153846153846159E-2</v>
      </c>
      <c r="BH463" s="6">
        <f>5/$BH$3</f>
        <v>2.0661157024793389E-2</v>
      </c>
      <c r="BJ463">
        <v>3</v>
      </c>
      <c r="BK463" s="6">
        <f>BJ463/BJ466</f>
        <v>2.564102564102564E-2</v>
      </c>
      <c r="BL463" s="6">
        <f>3/$BL$3</f>
        <v>7.4441687344913151E-3</v>
      </c>
      <c r="BN463">
        <v>12</v>
      </c>
      <c r="BO463" s="6">
        <f>BN463/BN466</f>
        <v>9.8360655737704916E-2</v>
      </c>
      <c r="BP463" s="6">
        <f>12/$BP$3</f>
        <v>2.8368794326241134E-2</v>
      </c>
      <c r="BR463">
        <v>4</v>
      </c>
      <c r="BS463" s="6">
        <f>BR463/BR466</f>
        <v>4.878048780487805E-2</v>
      </c>
      <c r="BT463" s="6">
        <f>4/$BT$3</f>
        <v>1.4598540145985401E-2</v>
      </c>
      <c r="BV463">
        <v>3</v>
      </c>
      <c r="BW463" s="6">
        <f>BV463/BV466</f>
        <v>0.04</v>
      </c>
      <c r="BX463" s="6">
        <f>3/$BX$3</f>
        <v>9.8360655737704927E-3</v>
      </c>
      <c r="BZ463">
        <v>4</v>
      </c>
      <c r="CA463" s="6">
        <f>BZ463/BZ466</f>
        <v>5.4794520547945202E-2</v>
      </c>
      <c r="CB463" s="6">
        <f>4/$CB$3</f>
        <v>1.7857142857142856E-2</v>
      </c>
      <c r="CD463">
        <v>3</v>
      </c>
      <c r="CE463" s="6">
        <f>CD463/CD466</f>
        <v>3.7499999999999999E-2</v>
      </c>
      <c r="CF463" s="6">
        <f>3/$CF$3</f>
        <v>1.2448132780082987E-2</v>
      </c>
      <c r="CH463">
        <v>9</v>
      </c>
      <c r="CI463" s="6">
        <f>CH463/CH466</f>
        <v>9.6774193548387094E-2</v>
      </c>
      <c r="CJ463" s="6">
        <f>9/$CJ$3</f>
        <v>2.7272727272727271E-2</v>
      </c>
    </row>
    <row r="464" spans="1:88" x14ac:dyDescent="0.35">
      <c r="A464" s="1" t="s">
        <v>646</v>
      </c>
      <c r="B464">
        <v>5</v>
      </c>
      <c r="C464" s="6">
        <f>B464/B466</f>
        <v>1.5576323987538941E-2</v>
      </c>
      <c r="D464" s="6">
        <f>5/$D$3</f>
        <v>4.5454545454545452E-3</v>
      </c>
      <c r="F464">
        <v>4</v>
      </c>
      <c r="G464" s="6">
        <f>F464/F466</f>
        <v>1.3745704467353952E-2</v>
      </c>
      <c r="H464" s="6">
        <f>4/$H$3</f>
        <v>4.3907793633369925E-3</v>
      </c>
      <c r="J464">
        <v>3</v>
      </c>
      <c r="K464" s="6">
        <f>J464/J466</f>
        <v>1.7751479289940829E-2</v>
      </c>
      <c r="L464" s="6">
        <f>3/$L$3</f>
        <v>6.9124423963133645E-3</v>
      </c>
      <c r="N464">
        <v>0</v>
      </c>
      <c r="O464" s="6">
        <f>N464/N466</f>
        <v>0</v>
      </c>
      <c r="P464" s="6">
        <f>0/$P$3</f>
        <v>0</v>
      </c>
      <c r="R464">
        <v>3</v>
      </c>
      <c r="S464" s="6">
        <f>R464/R466</f>
        <v>1.507537688442211E-2</v>
      </c>
      <c r="T464" s="6">
        <f>3/$T$3</f>
        <v>5.3571428571428572E-3</v>
      </c>
      <c r="V464">
        <v>2</v>
      </c>
      <c r="W464" s="6">
        <f>V464/V466</f>
        <v>1.6393442622950821E-2</v>
      </c>
      <c r="X464" s="6">
        <f>2/$X$3</f>
        <v>3.7037037037037038E-3</v>
      </c>
      <c r="Z464">
        <v>0</v>
      </c>
      <c r="AA464" s="6">
        <f>Z464/Z466</f>
        <v>0</v>
      </c>
      <c r="AB464" s="6">
        <f>0/$AB$3</f>
        <v>0</v>
      </c>
      <c r="AD464">
        <v>1</v>
      </c>
      <c r="AE464" s="6">
        <f>AD464/AD466</f>
        <v>2.0408163265306121E-2</v>
      </c>
      <c r="AF464" s="6">
        <f>1/$AF$3</f>
        <v>5.0505050505050509E-3</v>
      </c>
      <c r="AH464">
        <v>1</v>
      </c>
      <c r="AI464" s="6">
        <f>AH464/AH466</f>
        <v>1.2658227848101266E-2</v>
      </c>
      <c r="AJ464" s="6">
        <f>1/$AJ$3</f>
        <v>4.048582995951417E-3</v>
      </c>
      <c r="AL464">
        <v>1</v>
      </c>
      <c r="AM464" s="6">
        <f>AL464/AL466</f>
        <v>1.2195121951219513E-2</v>
      </c>
      <c r="AN464" s="6">
        <f>1/$AN$3</f>
        <v>4.3103448275862068E-3</v>
      </c>
      <c r="AP464">
        <v>1</v>
      </c>
      <c r="AQ464" s="6">
        <f>AP464/AP466</f>
        <v>1.7857142857142856E-2</v>
      </c>
      <c r="AR464" s="6">
        <f>1/$AR$3</f>
        <v>5.3763440860215058E-3</v>
      </c>
      <c r="AT464">
        <v>1</v>
      </c>
      <c r="AU464" s="6">
        <f>AT464/AT466</f>
        <v>3.2258064516129031E-2</v>
      </c>
      <c r="AV464" s="6">
        <f>1/$AV$3</f>
        <v>8.0645161290322578E-3</v>
      </c>
      <c r="AX464">
        <v>2</v>
      </c>
      <c r="AY464" s="6">
        <f>AX464/AX466</f>
        <v>1.4814814814814815E-2</v>
      </c>
      <c r="AZ464" s="6">
        <f>2/$AZ$3</f>
        <v>4.6511627906976744E-3</v>
      </c>
      <c r="BB464">
        <v>2</v>
      </c>
      <c r="BC464" s="6">
        <f>BB464/BB466</f>
        <v>1.4925373134328358E-2</v>
      </c>
      <c r="BD464" s="6">
        <f>2/$BD$3</f>
        <v>4.6728971962616819E-3</v>
      </c>
      <c r="BF464">
        <v>1</v>
      </c>
      <c r="BG464" s="6">
        <f>BF464/BF466</f>
        <v>1.9230769230769232E-2</v>
      </c>
      <c r="BH464" s="6">
        <f>1/$BH$3</f>
        <v>4.1322314049586778E-3</v>
      </c>
      <c r="BJ464">
        <v>1</v>
      </c>
      <c r="BK464" s="6">
        <f>BJ464/BJ466</f>
        <v>8.5470085470085479E-3</v>
      </c>
      <c r="BL464" s="6">
        <f>1/$BL$3</f>
        <v>2.4813895781637717E-3</v>
      </c>
      <c r="BN464">
        <v>3</v>
      </c>
      <c r="BO464" s="6">
        <f>BN464/BN466</f>
        <v>2.4590163934426229E-2</v>
      </c>
      <c r="BP464" s="6">
        <f>3/$BP$3</f>
        <v>7.0921985815602835E-3</v>
      </c>
      <c r="BR464">
        <v>1</v>
      </c>
      <c r="BS464" s="6">
        <f>BR464/BR466</f>
        <v>1.2195121951219513E-2</v>
      </c>
      <c r="BT464" s="6">
        <f>1/$BT$3</f>
        <v>3.6496350364963502E-3</v>
      </c>
      <c r="BV464">
        <v>1</v>
      </c>
      <c r="BW464" s="6">
        <f>BV464/BV466</f>
        <v>1.3333333333333334E-2</v>
      </c>
      <c r="BX464" s="6">
        <f>1/$BX$3</f>
        <v>3.2786885245901639E-3</v>
      </c>
      <c r="BZ464">
        <v>1</v>
      </c>
      <c r="CA464" s="6">
        <f>BZ464/BZ466</f>
        <v>1.3698630136986301E-2</v>
      </c>
      <c r="CB464" s="6">
        <f>1/$CB$3</f>
        <v>4.464285714285714E-3</v>
      </c>
      <c r="CD464">
        <v>3</v>
      </c>
      <c r="CE464" s="6">
        <f>CD464/CD466</f>
        <v>3.7499999999999999E-2</v>
      </c>
      <c r="CF464" s="6">
        <f>3/$CF$3</f>
        <v>1.2448132780082987E-2</v>
      </c>
      <c r="CH464">
        <v>0</v>
      </c>
      <c r="CI464" s="6">
        <f>CH464/CH466</f>
        <v>0</v>
      </c>
      <c r="CJ464" s="6">
        <f>0/$CJ$3</f>
        <v>0</v>
      </c>
    </row>
    <row r="465" spans="1:88" x14ac:dyDescent="0.35">
      <c r="A465" s="1" t="s">
        <v>409</v>
      </c>
      <c r="B465">
        <v>0</v>
      </c>
      <c r="C465" s="6">
        <f>B465/B466</f>
        <v>0</v>
      </c>
      <c r="D465" s="6">
        <f>0/$D$3</f>
        <v>0</v>
      </c>
      <c r="F465">
        <v>0</v>
      </c>
      <c r="G465" s="6">
        <f>F465/F466</f>
        <v>0</v>
      </c>
      <c r="H465" s="6">
        <f>0/$H$3</f>
        <v>0</v>
      </c>
      <c r="J465">
        <v>0</v>
      </c>
      <c r="K465" s="6">
        <f>J465/J466</f>
        <v>0</v>
      </c>
      <c r="L465" s="6">
        <f>0/$L$3</f>
        <v>0</v>
      </c>
      <c r="N465">
        <v>0</v>
      </c>
      <c r="O465" s="6">
        <f>N465/N466</f>
        <v>0</v>
      </c>
      <c r="P465" s="6">
        <f>0/$P$3</f>
        <v>0</v>
      </c>
      <c r="R465">
        <v>0</v>
      </c>
      <c r="S465" s="6">
        <f>R465/R466</f>
        <v>0</v>
      </c>
      <c r="T465" s="6">
        <f>0/$T$3</f>
        <v>0</v>
      </c>
      <c r="V465">
        <v>0</v>
      </c>
      <c r="W465" s="6">
        <f>V465/V466</f>
        <v>0</v>
      </c>
      <c r="X465" s="6">
        <f>0/$X$3</f>
        <v>0</v>
      </c>
      <c r="Z465">
        <v>0</v>
      </c>
      <c r="AA465" s="6">
        <f>Z465/Z466</f>
        <v>0</v>
      </c>
      <c r="AB465" s="6">
        <f>0/$AB$3</f>
        <v>0</v>
      </c>
      <c r="AD465">
        <v>0</v>
      </c>
      <c r="AE465" s="6">
        <f>AD465/AD466</f>
        <v>0</v>
      </c>
      <c r="AF465" s="6">
        <f>0/$AF$3</f>
        <v>0</v>
      </c>
      <c r="AH465">
        <v>0</v>
      </c>
      <c r="AI465" s="6">
        <f>AH465/AH466</f>
        <v>0</v>
      </c>
      <c r="AJ465" s="6">
        <f>0/$AJ$3</f>
        <v>0</v>
      </c>
      <c r="AL465">
        <v>0</v>
      </c>
      <c r="AM465" s="6">
        <f>AL465/AL466</f>
        <v>0</v>
      </c>
      <c r="AN465" s="6">
        <f>0/$AN$3</f>
        <v>0</v>
      </c>
      <c r="AP465">
        <v>0</v>
      </c>
      <c r="AQ465" s="6">
        <f>AP465/AP466</f>
        <v>0</v>
      </c>
      <c r="AR465" s="6">
        <f>0/$AR$3</f>
        <v>0</v>
      </c>
      <c r="AT465">
        <v>0</v>
      </c>
      <c r="AU465" s="6">
        <f>AT465/AT466</f>
        <v>0</v>
      </c>
      <c r="AV465" s="6">
        <f>0/$AV$3</f>
        <v>0</v>
      </c>
      <c r="AX465">
        <v>0</v>
      </c>
      <c r="AY465" s="6">
        <f>AX465/AX466</f>
        <v>0</v>
      </c>
      <c r="AZ465" s="6">
        <f>0/$AZ$3</f>
        <v>0</v>
      </c>
      <c r="BB465">
        <v>0</v>
      </c>
      <c r="BC465" s="6">
        <f>BB465/BB466</f>
        <v>0</v>
      </c>
      <c r="BD465" s="6">
        <f>0/$BD$3</f>
        <v>0</v>
      </c>
      <c r="BF465">
        <v>0</v>
      </c>
      <c r="BG465" s="6">
        <f>BF465/BF466</f>
        <v>0</v>
      </c>
      <c r="BH465" s="6">
        <f>0/$BH$3</f>
        <v>0</v>
      </c>
      <c r="BJ465">
        <v>0</v>
      </c>
      <c r="BK465" s="6">
        <f>BJ465/BJ466</f>
        <v>0</v>
      </c>
      <c r="BL465" s="6">
        <f>0/$BL$3</f>
        <v>0</v>
      </c>
      <c r="BN465">
        <v>0</v>
      </c>
      <c r="BO465" s="6">
        <f>BN465/BN466</f>
        <v>0</v>
      </c>
      <c r="BP465" s="6">
        <f>0/$BP$3</f>
        <v>0</v>
      </c>
      <c r="BR465">
        <v>0</v>
      </c>
      <c r="BS465" s="6">
        <f>BR465/BR466</f>
        <v>0</v>
      </c>
      <c r="BT465" s="6">
        <f>0/$BT$3</f>
        <v>0</v>
      </c>
      <c r="BV465">
        <v>0</v>
      </c>
      <c r="BW465" s="6">
        <f>BV465/BV466</f>
        <v>0</v>
      </c>
      <c r="BX465" s="6">
        <f>0/$BX$3</f>
        <v>0</v>
      </c>
      <c r="BZ465">
        <v>0</v>
      </c>
      <c r="CA465" s="6">
        <f>BZ465/BZ466</f>
        <v>0</v>
      </c>
      <c r="CB465" s="6">
        <f>0/$CB$3</f>
        <v>0</v>
      </c>
      <c r="CD465">
        <v>0</v>
      </c>
      <c r="CE465" s="6">
        <f>CD465/CD466</f>
        <v>0</v>
      </c>
      <c r="CF465" s="6">
        <f>0/$CF$3</f>
        <v>0</v>
      </c>
      <c r="CH465">
        <v>0</v>
      </c>
      <c r="CI465" s="6">
        <f>CH465/CH466</f>
        <v>0</v>
      </c>
      <c r="CJ465" s="6">
        <f>0/$CJ$3</f>
        <v>0</v>
      </c>
    </row>
    <row r="466" spans="1:88" s="10" customFormat="1" x14ac:dyDescent="0.35">
      <c r="A466" s="11" t="s">
        <v>411</v>
      </c>
      <c r="B466" s="10">
        <v>321</v>
      </c>
      <c r="F466" s="10">
        <v>291</v>
      </c>
      <c r="J466" s="10">
        <v>169</v>
      </c>
      <c r="N466" s="10">
        <v>22</v>
      </c>
      <c r="R466" s="10">
        <v>199</v>
      </c>
      <c r="V466" s="10">
        <v>122</v>
      </c>
      <c r="Z466" s="10">
        <v>24</v>
      </c>
      <c r="AD466" s="10">
        <v>49</v>
      </c>
      <c r="AH466" s="10">
        <v>79</v>
      </c>
      <c r="AL466" s="10">
        <v>82</v>
      </c>
      <c r="AP466" s="10">
        <v>56</v>
      </c>
      <c r="AT466" s="10">
        <v>31</v>
      </c>
      <c r="AX466" s="10">
        <v>135</v>
      </c>
      <c r="BB466" s="10">
        <v>134</v>
      </c>
      <c r="BF466" s="10">
        <v>52</v>
      </c>
      <c r="BJ466" s="10">
        <v>117</v>
      </c>
      <c r="BN466" s="10">
        <v>122</v>
      </c>
      <c r="BR466" s="10">
        <v>82</v>
      </c>
      <c r="BV466" s="10">
        <v>75</v>
      </c>
      <c r="BZ466" s="10">
        <v>73</v>
      </c>
      <c r="CD466" s="10">
        <v>80</v>
      </c>
      <c r="CH466" s="10">
        <v>93</v>
      </c>
    </row>
    <row r="467" spans="1:88" hidden="1" x14ac:dyDescent="0.35">
      <c r="A467" s="12" t="s">
        <v>412</v>
      </c>
      <c r="B467">
        <v>0</v>
      </c>
      <c r="F467">
        <v>0</v>
      </c>
      <c r="J467">
        <v>0</v>
      </c>
      <c r="N467">
        <v>0</v>
      </c>
      <c r="R467">
        <v>0</v>
      </c>
      <c r="V467">
        <v>0</v>
      </c>
      <c r="Z467">
        <v>0</v>
      </c>
      <c r="AD467">
        <v>0</v>
      </c>
      <c r="AH467">
        <v>0</v>
      </c>
      <c r="AL467">
        <v>0</v>
      </c>
      <c r="AP467">
        <v>0</v>
      </c>
      <c r="AT467">
        <v>0</v>
      </c>
      <c r="AX467">
        <v>0</v>
      </c>
      <c r="BB467">
        <v>0</v>
      </c>
      <c r="BF467">
        <v>0</v>
      </c>
      <c r="BJ467">
        <v>0</v>
      </c>
      <c r="BN467">
        <v>0</v>
      </c>
      <c r="BR467">
        <v>0</v>
      </c>
      <c r="BV467">
        <v>0</v>
      </c>
      <c r="BZ467">
        <v>0</v>
      </c>
      <c r="CD467">
        <v>0</v>
      </c>
      <c r="CH467">
        <v>0</v>
      </c>
    </row>
    <row r="468" spans="1:88" s="13" customFormat="1" x14ac:dyDescent="0.35">
      <c r="A468" s="12" t="s">
        <v>413</v>
      </c>
      <c r="B468" s="13">
        <v>779</v>
      </c>
      <c r="F468" s="13">
        <v>620</v>
      </c>
      <c r="J468" s="13">
        <v>265</v>
      </c>
      <c r="N468" s="13">
        <v>59</v>
      </c>
      <c r="R468" s="13">
        <v>361</v>
      </c>
      <c r="V468" s="13">
        <v>418</v>
      </c>
      <c r="Z468" s="13">
        <v>89</v>
      </c>
      <c r="AD468" s="13">
        <v>149</v>
      </c>
      <c r="AH468" s="13">
        <v>168</v>
      </c>
      <c r="AL468" s="13">
        <v>150</v>
      </c>
      <c r="AP468" s="13">
        <v>130</v>
      </c>
      <c r="AT468" s="13">
        <v>93</v>
      </c>
      <c r="AX468" s="13">
        <v>295</v>
      </c>
      <c r="BB468" s="13">
        <v>294</v>
      </c>
      <c r="BF468" s="13">
        <v>190</v>
      </c>
      <c r="BJ468" s="13">
        <v>286</v>
      </c>
      <c r="BN468" s="13">
        <v>301</v>
      </c>
      <c r="BR468" s="13">
        <v>192</v>
      </c>
      <c r="BV468" s="13">
        <v>230</v>
      </c>
      <c r="BZ468" s="13">
        <v>151</v>
      </c>
      <c r="CD468" s="13">
        <v>161</v>
      </c>
      <c r="CH468" s="13">
        <v>237</v>
      </c>
    </row>
    <row r="470" spans="1:88" x14ac:dyDescent="0.35">
      <c r="AB470" s="2" t="s">
        <v>3</v>
      </c>
      <c r="AF470" s="2" t="s">
        <v>4</v>
      </c>
      <c r="AJ470" s="2" t="s">
        <v>5</v>
      </c>
      <c r="AN470" s="2" t="s">
        <v>6</v>
      </c>
      <c r="AR470" s="2" t="s">
        <v>7</v>
      </c>
      <c r="AV470" s="2" t="s">
        <v>8</v>
      </c>
      <c r="AZ470" s="2" t="s">
        <v>3</v>
      </c>
      <c r="BD470" s="2" t="s">
        <v>4</v>
      </c>
      <c r="BH470" s="2" t="s">
        <v>5</v>
      </c>
      <c r="BL470" s="2" t="s">
        <v>3</v>
      </c>
      <c r="BP470" s="2" t="s">
        <v>4</v>
      </c>
      <c r="BT470" s="2" t="s">
        <v>5</v>
      </c>
      <c r="BX470" s="2" t="s">
        <v>3</v>
      </c>
      <c r="CB470" s="2" t="s">
        <v>4</v>
      </c>
      <c r="CF470" s="2" t="s">
        <v>5</v>
      </c>
      <c r="CJ470" s="2" t="s">
        <v>6</v>
      </c>
    </row>
    <row r="471" spans="1:88" s="3" customFormat="1" x14ac:dyDescent="0.35">
      <c r="A471" s="3" t="s">
        <v>1533</v>
      </c>
      <c r="D471" s="5" t="s">
        <v>406</v>
      </c>
      <c r="H471" s="5" t="s">
        <v>406</v>
      </c>
      <c r="L471" s="5" t="s">
        <v>406</v>
      </c>
      <c r="P471" s="5" t="s">
        <v>406</v>
      </c>
      <c r="T471" s="5" t="s">
        <v>406</v>
      </c>
      <c r="X471" s="5" t="s">
        <v>406</v>
      </c>
      <c r="AB471" s="5" t="s">
        <v>406</v>
      </c>
      <c r="AF471" s="5" t="s">
        <v>406</v>
      </c>
      <c r="AJ471" s="5" t="s">
        <v>406</v>
      </c>
      <c r="AN471" s="5" t="s">
        <v>406</v>
      </c>
      <c r="AR471" s="5" t="s">
        <v>406</v>
      </c>
      <c r="AV471" s="5" t="s">
        <v>406</v>
      </c>
      <c r="AZ471" s="5" t="s">
        <v>406</v>
      </c>
      <c r="BD471" s="5" t="s">
        <v>406</v>
      </c>
      <c r="BH471" s="5" t="s">
        <v>406</v>
      </c>
      <c r="BL471" s="5" t="s">
        <v>406</v>
      </c>
      <c r="BP471" s="5" t="s">
        <v>406</v>
      </c>
      <c r="BT471" s="5" t="s">
        <v>406</v>
      </c>
      <c r="BX471" s="5" t="s">
        <v>406</v>
      </c>
      <c r="CB471" s="5" t="s">
        <v>406</v>
      </c>
      <c r="CF471" s="5" t="s">
        <v>406</v>
      </c>
      <c r="CJ471" s="5" t="s">
        <v>406</v>
      </c>
    </row>
    <row r="472" spans="1:88" x14ac:dyDescent="0.35">
      <c r="A472" s="1" t="s">
        <v>750</v>
      </c>
      <c r="B472">
        <v>28</v>
      </c>
      <c r="C472" s="6">
        <f>B472/B476</f>
        <v>0.16568047337278108</v>
      </c>
      <c r="D472" s="6">
        <f>28/$D$3</f>
        <v>2.5454545454545455E-2</v>
      </c>
      <c r="F472">
        <v>27</v>
      </c>
      <c r="G472" s="6">
        <f>F472/F476</f>
        <v>0.16666666666666666</v>
      </c>
      <c r="H472" s="6">
        <f>27/$H$3</f>
        <v>2.9637760702524697E-2</v>
      </c>
      <c r="J472">
        <v>28</v>
      </c>
      <c r="K472" s="6">
        <f>J472/J476</f>
        <v>0.16568047337278108</v>
      </c>
      <c r="L472" s="6">
        <f>28/$L$3</f>
        <v>6.4516129032258063E-2</v>
      </c>
      <c r="N472">
        <v>0</v>
      </c>
      <c r="O472" s="6">
        <v>0</v>
      </c>
      <c r="P472" s="6">
        <f>0/$P$3</f>
        <v>0</v>
      </c>
      <c r="R472">
        <v>21</v>
      </c>
      <c r="S472" s="6">
        <f>R472/R476</f>
        <v>0.18421052631578946</v>
      </c>
      <c r="T472" s="6">
        <f>21/$T$3</f>
        <v>3.7499999999999999E-2</v>
      </c>
      <c r="V472">
        <v>7</v>
      </c>
      <c r="W472" s="6">
        <f>V472/V476</f>
        <v>0.12727272727272726</v>
      </c>
      <c r="X472" s="6">
        <f>7/$X$3</f>
        <v>1.2962962962962963E-2</v>
      </c>
      <c r="Z472">
        <v>2</v>
      </c>
      <c r="AA472" s="6">
        <f>Z472/Z476</f>
        <v>0.13333333333333333</v>
      </c>
      <c r="AB472" s="6">
        <f>2/$AB$3</f>
        <v>1.7699115044247787E-2</v>
      </c>
      <c r="AD472">
        <v>2</v>
      </c>
      <c r="AE472" s="6">
        <f>AD472/AD476</f>
        <v>0.08</v>
      </c>
      <c r="AF472" s="6">
        <f>2/$AF$3</f>
        <v>1.0101010101010102E-2</v>
      </c>
      <c r="AH472">
        <v>8</v>
      </c>
      <c r="AI472" s="6">
        <f>AH472/AH476</f>
        <v>0.20512820512820512</v>
      </c>
      <c r="AJ472" s="6">
        <f>8/$AJ$3</f>
        <v>3.2388663967611336E-2</v>
      </c>
      <c r="AL472">
        <v>8</v>
      </c>
      <c r="AM472" s="6">
        <f>AL472/AL476</f>
        <v>0.15686274509803921</v>
      </c>
      <c r="AN472" s="6">
        <f>8/$AN$3</f>
        <v>3.4482758620689655E-2</v>
      </c>
      <c r="AP472">
        <v>7</v>
      </c>
      <c r="AQ472" s="6">
        <f>AP472/AP476</f>
        <v>0.28000000000000003</v>
      </c>
      <c r="AR472" s="6">
        <f>7/$AR$3</f>
        <v>3.7634408602150539E-2</v>
      </c>
      <c r="AT472">
        <v>1</v>
      </c>
      <c r="AU472" s="6">
        <f>AT472/AT476</f>
        <v>7.1428571428571425E-2</v>
      </c>
      <c r="AV472" s="6">
        <f>1/$AV$3</f>
        <v>8.0645161290322578E-3</v>
      </c>
      <c r="AX472">
        <v>13</v>
      </c>
      <c r="AY472" s="6">
        <f>AX472/AX476</f>
        <v>0.17333333333333334</v>
      </c>
      <c r="AZ472" s="6">
        <f>13/$AZ$3</f>
        <v>3.0232558139534883E-2</v>
      </c>
      <c r="BB472">
        <v>11</v>
      </c>
      <c r="BC472" s="6">
        <f>BB472/BB476</f>
        <v>0.15068493150684931</v>
      </c>
      <c r="BD472" s="6">
        <f>11/$BD$3</f>
        <v>2.5700934579439252E-2</v>
      </c>
      <c r="BF472">
        <v>4</v>
      </c>
      <c r="BG472" s="6">
        <f>BF472/BF476</f>
        <v>0.19047619047619047</v>
      </c>
      <c r="BH472" s="6">
        <f>4/$BH$3</f>
        <v>1.6528925619834711E-2</v>
      </c>
      <c r="BJ472">
        <v>11</v>
      </c>
      <c r="BK472" s="6">
        <f>BJ472/BJ476</f>
        <v>0.18965517241379309</v>
      </c>
      <c r="BL472" s="6">
        <f>11/$BL$3</f>
        <v>2.729528535980149E-2</v>
      </c>
      <c r="BN472">
        <v>10</v>
      </c>
      <c r="BO472" s="6">
        <f>BN472/BN476</f>
        <v>0.14492753623188406</v>
      </c>
      <c r="BP472" s="6">
        <f>10/$BP$3</f>
        <v>2.3640661938534278E-2</v>
      </c>
      <c r="BR472">
        <v>7</v>
      </c>
      <c r="BS472" s="6">
        <f>BR472/BR476</f>
        <v>0.16666666666666666</v>
      </c>
      <c r="BT472" s="6">
        <f>7/$BT$3</f>
        <v>2.5547445255474453E-2</v>
      </c>
      <c r="BV472">
        <v>5</v>
      </c>
      <c r="BW472" s="6">
        <f>BV472/BV476</f>
        <v>0.11363636363636363</v>
      </c>
      <c r="BX472" s="6">
        <f>5/$BX$3</f>
        <v>1.6393442622950821E-2</v>
      </c>
      <c r="BZ472">
        <v>8</v>
      </c>
      <c r="CA472" s="6">
        <f>BZ472/BZ476</f>
        <v>0.21052631578947367</v>
      </c>
      <c r="CB472" s="6">
        <f>8/$CB$3</f>
        <v>3.5714285714285712E-2</v>
      </c>
      <c r="CD472">
        <v>7</v>
      </c>
      <c r="CE472" s="6">
        <f>CD472/CD476</f>
        <v>0.15217391304347827</v>
      </c>
      <c r="CF472" s="6">
        <f>7/$CF$3</f>
        <v>2.9045643153526972E-2</v>
      </c>
      <c r="CH472">
        <v>8</v>
      </c>
      <c r="CI472" s="6">
        <f>CH472/CH476</f>
        <v>0.1951219512195122</v>
      </c>
      <c r="CJ472" s="6">
        <f>8/$CJ$3</f>
        <v>2.4242424242424242E-2</v>
      </c>
    </row>
    <row r="473" spans="1:88" x14ac:dyDescent="0.35">
      <c r="A473" s="1" t="s">
        <v>751</v>
      </c>
      <c r="B473">
        <v>5</v>
      </c>
      <c r="C473" s="6">
        <f>B473/B476</f>
        <v>2.9585798816568046E-2</v>
      </c>
      <c r="D473" s="6">
        <f>5/$D$3</f>
        <v>4.5454545454545452E-3</v>
      </c>
      <c r="F473">
        <v>5</v>
      </c>
      <c r="G473" s="6">
        <f>F473/F476</f>
        <v>3.0864197530864196E-2</v>
      </c>
      <c r="H473" s="6">
        <f>5/$H$3</f>
        <v>5.4884742041712408E-3</v>
      </c>
      <c r="J473">
        <v>5</v>
      </c>
      <c r="K473" s="6">
        <f>J473/J476</f>
        <v>2.9585798816568046E-2</v>
      </c>
      <c r="L473" s="6">
        <f>5/$L$3</f>
        <v>1.1520737327188941E-2</v>
      </c>
      <c r="N473">
        <v>0</v>
      </c>
      <c r="O473" s="6">
        <v>0</v>
      </c>
      <c r="P473" s="6">
        <f>0/$P$3</f>
        <v>0</v>
      </c>
      <c r="R473">
        <v>3</v>
      </c>
      <c r="S473" s="6">
        <f>R473/R476</f>
        <v>2.6315789473684209E-2</v>
      </c>
      <c r="T473" s="6">
        <f>3/$T$3</f>
        <v>5.3571428571428572E-3</v>
      </c>
      <c r="V473">
        <v>2</v>
      </c>
      <c r="W473" s="6">
        <f>V473/V476</f>
        <v>3.6363636363636362E-2</v>
      </c>
      <c r="X473" s="6">
        <f>2/$X$3</f>
        <v>3.7037037037037038E-3</v>
      </c>
      <c r="Z473">
        <v>2</v>
      </c>
      <c r="AA473" s="6">
        <f>Z473/Z476</f>
        <v>0.13333333333333333</v>
      </c>
      <c r="AB473" s="6">
        <f>2/$AB$3</f>
        <v>1.7699115044247787E-2</v>
      </c>
      <c r="AD473">
        <v>1</v>
      </c>
      <c r="AE473" s="6">
        <f>AD473/AD476</f>
        <v>0.04</v>
      </c>
      <c r="AF473" s="6">
        <f>1/$AF$3</f>
        <v>5.0505050505050509E-3</v>
      </c>
      <c r="AH473">
        <v>2</v>
      </c>
      <c r="AI473" s="6">
        <f>AH473/AH476</f>
        <v>5.128205128205128E-2</v>
      </c>
      <c r="AJ473" s="6">
        <f>2/$AJ$3</f>
        <v>8.0971659919028341E-3</v>
      </c>
      <c r="AL473">
        <v>0</v>
      </c>
      <c r="AM473" s="6">
        <f>AL473/AL476</f>
        <v>0</v>
      </c>
      <c r="AN473" s="6">
        <f>0/$AN$3</f>
        <v>0</v>
      </c>
      <c r="AP473">
        <v>0</v>
      </c>
      <c r="AQ473" s="6">
        <f>AP473/AP476</f>
        <v>0</v>
      </c>
      <c r="AR473" s="6">
        <f>0/$AR$3</f>
        <v>0</v>
      </c>
      <c r="AT473">
        <v>0</v>
      </c>
      <c r="AU473" s="6">
        <f>AT473/AT476</f>
        <v>0</v>
      </c>
      <c r="AV473" s="6">
        <f>0/$AV$3</f>
        <v>0</v>
      </c>
      <c r="AX473">
        <v>2</v>
      </c>
      <c r="AY473" s="6">
        <f>AX473/AX476</f>
        <v>2.6666666666666668E-2</v>
      </c>
      <c r="AZ473" s="6">
        <f>2/$AZ$3</f>
        <v>4.6511627906976744E-3</v>
      </c>
      <c r="BB473">
        <v>2</v>
      </c>
      <c r="BC473" s="6">
        <f>BB473/BB476</f>
        <v>2.7397260273972601E-2</v>
      </c>
      <c r="BD473" s="6">
        <f>2/$BD$3</f>
        <v>4.6728971962616819E-3</v>
      </c>
      <c r="BF473">
        <v>1</v>
      </c>
      <c r="BG473" s="6">
        <f>BF473/BF476</f>
        <v>4.7619047619047616E-2</v>
      </c>
      <c r="BH473" s="6">
        <f>1/$BH$3</f>
        <v>4.1322314049586778E-3</v>
      </c>
      <c r="BJ473">
        <v>1</v>
      </c>
      <c r="BK473" s="6">
        <f>BJ473/BJ476</f>
        <v>1.7241379310344827E-2</v>
      </c>
      <c r="BL473" s="6">
        <f>1/$BL$3</f>
        <v>2.4813895781637717E-3</v>
      </c>
      <c r="BN473">
        <v>2</v>
      </c>
      <c r="BO473" s="6">
        <f>BN473/BN476</f>
        <v>2.8985507246376812E-2</v>
      </c>
      <c r="BP473" s="6">
        <f>2/$BP$3</f>
        <v>4.7281323877068557E-3</v>
      </c>
      <c r="BR473">
        <v>2</v>
      </c>
      <c r="BS473" s="6">
        <f>BR473/BR476</f>
        <v>4.7619047619047616E-2</v>
      </c>
      <c r="BT473" s="6">
        <f>2/$BT$3</f>
        <v>7.2992700729927005E-3</v>
      </c>
      <c r="BV473">
        <v>1</v>
      </c>
      <c r="BW473" s="6">
        <f>BV473/BV476</f>
        <v>2.2727272727272728E-2</v>
      </c>
      <c r="BX473" s="6">
        <f>1/$BX$3</f>
        <v>3.2786885245901639E-3</v>
      </c>
      <c r="BZ473">
        <v>1</v>
      </c>
      <c r="CA473" s="6">
        <f>BZ473/BZ476</f>
        <v>2.6315789473684209E-2</v>
      </c>
      <c r="CB473" s="6">
        <f>1/$CB$3</f>
        <v>4.464285714285714E-3</v>
      </c>
      <c r="CD473">
        <v>1</v>
      </c>
      <c r="CE473" s="6">
        <f>CD473/CD476</f>
        <v>2.1739130434782608E-2</v>
      </c>
      <c r="CF473" s="6">
        <f>1/$CF$3</f>
        <v>4.1493775933609959E-3</v>
      </c>
      <c r="CH473">
        <v>2</v>
      </c>
      <c r="CI473" s="6">
        <f>CH473/CH476</f>
        <v>4.878048780487805E-2</v>
      </c>
      <c r="CJ473" s="6">
        <f>2/$CJ$3</f>
        <v>6.0606060606060606E-3</v>
      </c>
    </row>
    <row r="474" spans="1:88" x14ac:dyDescent="0.35">
      <c r="A474" s="1" t="s">
        <v>752</v>
      </c>
      <c r="B474">
        <v>136</v>
      </c>
      <c r="C474" s="6">
        <f>B474/B476</f>
        <v>0.80473372781065089</v>
      </c>
      <c r="D474" s="6">
        <f>136/$D$3</f>
        <v>0.12363636363636364</v>
      </c>
      <c r="F474">
        <v>130</v>
      </c>
      <c r="G474" s="6">
        <f>F474/F476</f>
        <v>0.80246913580246915</v>
      </c>
      <c r="H474" s="6">
        <f>130/$H$3</f>
        <v>0.14270032930845225</v>
      </c>
      <c r="J474">
        <v>136</v>
      </c>
      <c r="K474" s="6">
        <f>J474/J476</f>
        <v>0.80473372781065089</v>
      </c>
      <c r="L474" s="6">
        <f>136/$L$3</f>
        <v>0.31336405529953915</v>
      </c>
      <c r="N474">
        <v>0</v>
      </c>
      <c r="O474" s="6">
        <v>0</v>
      </c>
      <c r="P474" s="8">
        <f>0/$P$3</f>
        <v>0</v>
      </c>
      <c r="R474">
        <v>90</v>
      </c>
      <c r="S474" s="6">
        <f>R474/R476</f>
        <v>0.78947368421052633</v>
      </c>
      <c r="T474" s="6">
        <f>90/$T$3</f>
        <v>0.16071428571428573</v>
      </c>
      <c r="V474">
        <v>46</v>
      </c>
      <c r="W474" s="6">
        <f>V474/V476</f>
        <v>0.83636363636363631</v>
      </c>
      <c r="X474" s="6">
        <f>46/$X$3</f>
        <v>8.5185185185185183E-2</v>
      </c>
      <c r="Z474">
        <v>11</v>
      </c>
      <c r="AA474" s="6">
        <f>Z474/Z476</f>
        <v>0.73333333333333328</v>
      </c>
      <c r="AB474" s="6">
        <f>11/$AB$3</f>
        <v>9.7345132743362831E-2</v>
      </c>
      <c r="AD474">
        <v>22</v>
      </c>
      <c r="AE474" s="6">
        <f>AD474/AD476</f>
        <v>0.88</v>
      </c>
      <c r="AF474" s="6">
        <f>22/$AF$3</f>
        <v>0.1111111111111111</v>
      </c>
      <c r="AH474">
        <v>29</v>
      </c>
      <c r="AI474" s="6">
        <f>AH474/AH476</f>
        <v>0.74358974358974361</v>
      </c>
      <c r="AJ474" s="6">
        <f>29/$AJ$3</f>
        <v>0.11740890688259109</v>
      </c>
      <c r="AL474">
        <v>43</v>
      </c>
      <c r="AM474" s="6">
        <f>AL474/AL476</f>
        <v>0.84313725490196079</v>
      </c>
      <c r="AN474" s="9">
        <f>43/$AN$3</f>
        <v>0.18534482758620691</v>
      </c>
      <c r="AP474">
        <v>18</v>
      </c>
      <c r="AQ474" s="6">
        <f>AP474/AP476</f>
        <v>0.72</v>
      </c>
      <c r="AR474" s="6">
        <f>18/$AR$3</f>
        <v>9.6774193548387094E-2</v>
      </c>
      <c r="AT474">
        <v>13</v>
      </c>
      <c r="AU474" s="6">
        <f>AT474/AT476</f>
        <v>0.9285714285714286</v>
      </c>
      <c r="AV474" s="6">
        <f>13/$AV$3</f>
        <v>0.10483870967741936</v>
      </c>
      <c r="AX474">
        <v>60</v>
      </c>
      <c r="AY474" s="6">
        <f>AX474/AX476</f>
        <v>0.8</v>
      </c>
      <c r="AZ474" s="6">
        <f>60/$AZ$3</f>
        <v>0.13953488372093023</v>
      </c>
      <c r="BB474">
        <v>60</v>
      </c>
      <c r="BC474" s="6">
        <f>BB474/BB476</f>
        <v>0.82191780821917804</v>
      </c>
      <c r="BD474" s="6">
        <f>60/$BD$3</f>
        <v>0.14018691588785046</v>
      </c>
      <c r="BF474">
        <v>16</v>
      </c>
      <c r="BG474" s="6">
        <f>BF474/BF476</f>
        <v>0.76190476190476186</v>
      </c>
      <c r="BH474" s="8">
        <f>16/$BH$3</f>
        <v>6.6115702479338845E-2</v>
      </c>
      <c r="BJ474">
        <v>46</v>
      </c>
      <c r="BK474" s="6">
        <f>BJ474/BJ476</f>
        <v>0.7931034482758621</v>
      </c>
      <c r="BL474" s="6">
        <f>46/$BL$3</f>
        <v>0.11414392059553349</v>
      </c>
      <c r="BN474">
        <v>57</v>
      </c>
      <c r="BO474" s="6">
        <f>BN474/BN476</f>
        <v>0.82608695652173914</v>
      </c>
      <c r="BP474" s="6">
        <f>57/$BP$3</f>
        <v>0.13475177304964539</v>
      </c>
      <c r="BR474">
        <v>33</v>
      </c>
      <c r="BS474" s="6">
        <f>BR474/BR476</f>
        <v>0.7857142857142857</v>
      </c>
      <c r="BT474" s="6">
        <f>33/$BT$3</f>
        <v>0.12043795620437957</v>
      </c>
      <c r="BV474">
        <v>38</v>
      </c>
      <c r="BW474" s="6">
        <f>BV474/BV476</f>
        <v>0.86363636363636365</v>
      </c>
      <c r="BX474" s="6">
        <f>38/$BX$3</f>
        <v>0.12459016393442623</v>
      </c>
      <c r="BZ474">
        <v>29</v>
      </c>
      <c r="CA474" s="6">
        <f>BZ474/BZ476</f>
        <v>0.76315789473684215</v>
      </c>
      <c r="CB474" s="6">
        <f>29/$CB$3</f>
        <v>0.12946428571428573</v>
      </c>
      <c r="CD474">
        <v>38</v>
      </c>
      <c r="CE474" s="6">
        <f>CD474/CD476</f>
        <v>0.82608695652173914</v>
      </c>
      <c r="CF474" s="6">
        <f>38/$CF$3</f>
        <v>0.15767634854771784</v>
      </c>
      <c r="CH474">
        <v>31</v>
      </c>
      <c r="CI474" s="6">
        <f>CH474/CH476</f>
        <v>0.75609756097560976</v>
      </c>
      <c r="CJ474" s="6">
        <f>31/$CJ$3</f>
        <v>9.3939393939393934E-2</v>
      </c>
    </row>
    <row r="475" spans="1:88" x14ac:dyDescent="0.35">
      <c r="A475" s="1" t="s">
        <v>409</v>
      </c>
      <c r="B475">
        <v>0</v>
      </c>
      <c r="C475" s="6">
        <f>B475/B476</f>
        <v>0</v>
      </c>
      <c r="D475" s="6">
        <f>0/$D$3</f>
        <v>0</v>
      </c>
      <c r="F475">
        <v>0</v>
      </c>
      <c r="G475" s="6">
        <f>F475/F476</f>
        <v>0</v>
      </c>
      <c r="H475" s="6">
        <f>0/$H$3</f>
        <v>0</v>
      </c>
      <c r="J475">
        <v>0</v>
      </c>
      <c r="K475" s="6">
        <f>J475/J476</f>
        <v>0</v>
      </c>
      <c r="L475" s="6">
        <f>0/$L$3</f>
        <v>0</v>
      </c>
      <c r="N475">
        <v>0</v>
      </c>
      <c r="O475" s="6">
        <v>0</v>
      </c>
      <c r="P475" s="6">
        <f>0/$P$3</f>
        <v>0</v>
      </c>
      <c r="R475">
        <v>0</v>
      </c>
      <c r="S475" s="6">
        <f>R475/R476</f>
        <v>0</v>
      </c>
      <c r="T475" s="6">
        <f>0/$T$3</f>
        <v>0</v>
      </c>
      <c r="V475">
        <v>0</v>
      </c>
      <c r="W475" s="6">
        <f>V475/V476</f>
        <v>0</v>
      </c>
      <c r="X475" s="6">
        <f>0/$X$3</f>
        <v>0</v>
      </c>
      <c r="Z475">
        <v>0</v>
      </c>
      <c r="AA475" s="6">
        <f>Z475/Z476</f>
        <v>0</v>
      </c>
      <c r="AB475" s="6">
        <f>0/$AB$3</f>
        <v>0</v>
      </c>
      <c r="AD475">
        <v>0</v>
      </c>
      <c r="AE475" s="6">
        <f>AD475/AD476</f>
        <v>0</v>
      </c>
      <c r="AF475" s="6">
        <f>0/$AF$3</f>
        <v>0</v>
      </c>
      <c r="AH475">
        <v>0</v>
      </c>
      <c r="AI475" s="6">
        <f>AH475/AH476</f>
        <v>0</v>
      </c>
      <c r="AJ475" s="6">
        <f>0/$AJ$3</f>
        <v>0</v>
      </c>
      <c r="AL475">
        <v>0</v>
      </c>
      <c r="AM475" s="6">
        <f>AL475/AL476</f>
        <v>0</v>
      </c>
      <c r="AN475" s="6">
        <f>0/$AN$3</f>
        <v>0</v>
      </c>
      <c r="AP475">
        <v>0</v>
      </c>
      <c r="AQ475" s="6">
        <f>AP475/AP476</f>
        <v>0</v>
      </c>
      <c r="AR475" s="6">
        <f>0/$AR$3</f>
        <v>0</v>
      </c>
      <c r="AT475">
        <v>0</v>
      </c>
      <c r="AU475" s="6">
        <f>AT475/AT476</f>
        <v>0</v>
      </c>
      <c r="AV475" s="6">
        <f>0/$AV$3</f>
        <v>0</v>
      </c>
      <c r="AX475">
        <v>0</v>
      </c>
      <c r="AY475" s="6">
        <f>AX475/AX476</f>
        <v>0</v>
      </c>
      <c r="AZ475" s="6">
        <f>0/$AZ$3</f>
        <v>0</v>
      </c>
      <c r="BB475">
        <v>0</v>
      </c>
      <c r="BC475" s="6">
        <f>BB475/BB476</f>
        <v>0</v>
      </c>
      <c r="BD475" s="6">
        <f>0/$BD$3</f>
        <v>0</v>
      </c>
      <c r="BF475">
        <v>0</v>
      </c>
      <c r="BG475" s="6">
        <f>BF475/BF476</f>
        <v>0</v>
      </c>
      <c r="BH475" s="6">
        <f>0/$BH$3</f>
        <v>0</v>
      </c>
      <c r="BJ475">
        <v>0</v>
      </c>
      <c r="BK475" s="6">
        <f>BJ475/BJ476</f>
        <v>0</v>
      </c>
      <c r="BL475" s="6">
        <f>0/$BL$3</f>
        <v>0</v>
      </c>
      <c r="BN475">
        <v>0</v>
      </c>
      <c r="BO475" s="6">
        <f>BN475/BN476</f>
        <v>0</v>
      </c>
      <c r="BP475" s="6">
        <f>0/$BP$3</f>
        <v>0</v>
      </c>
      <c r="BR475">
        <v>0</v>
      </c>
      <c r="BS475" s="6">
        <f>BR475/BR476</f>
        <v>0</v>
      </c>
      <c r="BT475" s="6">
        <f>0/$BT$3</f>
        <v>0</v>
      </c>
      <c r="BV475">
        <v>0</v>
      </c>
      <c r="BW475" s="6">
        <f>BV475/BV476</f>
        <v>0</v>
      </c>
      <c r="BX475" s="6">
        <f>0/$BX$3</f>
        <v>0</v>
      </c>
      <c r="BZ475">
        <v>0</v>
      </c>
      <c r="CA475" s="6">
        <f>BZ475/BZ476</f>
        <v>0</v>
      </c>
      <c r="CB475" s="6">
        <f>0/$CB$3</f>
        <v>0</v>
      </c>
      <c r="CD475">
        <v>0</v>
      </c>
      <c r="CE475" s="6">
        <f>CD475/CD476</f>
        <v>0</v>
      </c>
      <c r="CF475" s="6">
        <f>0/$CF$3</f>
        <v>0</v>
      </c>
      <c r="CH475">
        <v>0</v>
      </c>
      <c r="CI475" s="6">
        <f>CH475/CH476</f>
        <v>0</v>
      </c>
      <c r="CJ475" s="6">
        <f>0/$CJ$3</f>
        <v>0</v>
      </c>
    </row>
    <row r="476" spans="1:88" s="10" customFormat="1" x14ac:dyDescent="0.35">
      <c r="A476" s="11" t="s">
        <v>411</v>
      </c>
      <c r="B476" s="10">
        <v>169</v>
      </c>
      <c r="F476" s="10">
        <v>162</v>
      </c>
      <c r="J476" s="10">
        <v>169</v>
      </c>
      <c r="N476" s="10">
        <v>0</v>
      </c>
      <c r="R476" s="10">
        <v>114</v>
      </c>
      <c r="V476" s="10">
        <v>55</v>
      </c>
      <c r="Z476" s="10">
        <v>15</v>
      </c>
      <c r="AD476" s="10">
        <v>25</v>
      </c>
      <c r="AH476" s="10">
        <v>39</v>
      </c>
      <c r="AL476" s="10">
        <v>51</v>
      </c>
      <c r="AP476" s="10">
        <v>25</v>
      </c>
      <c r="AT476" s="10">
        <v>14</v>
      </c>
      <c r="AX476" s="10">
        <v>75</v>
      </c>
      <c r="BB476" s="10">
        <v>73</v>
      </c>
      <c r="BF476" s="10">
        <v>21</v>
      </c>
      <c r="BJ476" s="10">
        <v>58</v>
      </c>
      <c r="BN476" s="10">
        <v>69</v>
      </c>
      <c r="BR476" s="10">
        <v>42</v>
      </c>
      <c r="BV476" s="10">
        <v>44</v>
      </c>
      <c r="BZ476" s="10">
        <v>38</v>
      </c>
      <c r="CD476" s="10">
        <v>46</v>
      </c>
      <c r="CH476" s="10">
        <v>41</v>
      </c>
    </row>
    <row r="477" spans="1:88" hidden="1" x14ac:dyDescent="0.35">
      <c r="A477" s="12" t="s">
        <v>412</v>
      </c>
      <c r="B477">
        <v>0</v>
      </c>
      <c r="F477">
        <v>0</v>
      </c>
      <c r="J477">
        <v>0</v>
      </c>
      <c r="N477">
        <v>0</v>
      </c>
      <c r="R477">
        <v>0</v>
      </c>
      <c r="V477">
        <v>0</v>
      </c>
      <c r="Z477">
        <v>0</v>
      </c>
      <c r="AD477">
        <v>0</v>
      </c>
      <c r="AH477">
        <v>0</v>
      </c>
      <c r="AL477">
        <v>0</v>
      </c>
      <c r="AP477">
        <v>0</v>
      </c>
      <c r="AT477">
        <v>0</v>
      </c>
      <c r="AX477">
        <v>0</v>
      </c>
      <c r="BB477">
        <v>0</v>
      </c>
      <c r="BF477">
        <v>0</v>
      </c>
      <c r="BJ477">
        <v>0</v>
      </c>
      <c r="BN477">
        <v>0</v>
      </c>
      <c r="BR477">
        <v>0</v>
      </c>
      <c r="BV477">
        <v>0</v>
      </c>
      <c r="BZ477">
        <v>0</v>
      </c>
      <c r="CD477">
        <v>0</v>
      </c>
      <c r="CH477">
        <v>0</v>
      </c>
    </row>
    <row r="478" spans="1:88" s="13" customFormat="1" x14ac:dyDescent="0.35">
      <c r="A478" s="12" t="s">
        <v>413</v>
      </c>
      <c r="B478" s="13">
        <v>931</v>
      </c>
      <c r="F478" s="13">
        <v>749</v>
      </c>
      <c r="J478" s="13">
        <v>265</v>
      </c>
      <c r="N478" s="13">
        <v>81</v>
      </c>
      <c r="R478" s="13">
        <v>446</v>
      </c>
      <c r="V478" s="13">
        <v>485</v>
      </c>
      <c r="Z478" s="13">
        <v>98</v>
      </c>
      <c r="AD478" s="13">
        <v>173</v>
      </c>
      <c r="AH478" s="13">
        <v>208</v>
      </c>
      <c r="AL478" s="13">
        <v>181</v>
      </c>
      <c r="AP478" s="13">
        <v>161</v>
      </c>
      <c r="AT478" s="13">
        <v>110</v>
      </c>
      <c r="AX478" s="13">
        <v>355</v>
      </c>
      <c r="BB478" s="13">
        <v>355</v>
      </c>
      <c r="BF478" s="13">
        <v>221</v>
      </c>
      <c r="BJ478" s="13">
        <v>345</v>
      </c>
      <c r="BN478" s="13">
        <v>354</v>
      </c>
      <c r="BR478" s="13">
        <v>232</v>
      </c>
      <c r="BV478" s="13">
        <v>261</v>
      </c>
      <c r="BZ478" s="13">
        <v>186</v>
      </c>
      <c r="CD478" s="13">
        <v>195</v>
      </c>
      <c r="CH478" s="13">
        <v>289</v>
      </c>
    </row>
    <row r="480" spans="1:88" x14ac:dyDescent="0.35">
      <c r="AB480" s="2" t="s">
        <v>3</v>
      </c>
      <c r="AF480" s="2" t="s">
        <v>4</v>
      </c>
      <c r="AJ480" s="2" t="s">
        <v>5</v>
      </c>
      <c r="AN480" s="2" t="s">
        <v>6</v>
      </c>
      <c r="AR480" s="2" t="s">
        <v>7</v>
      </c>
      <c r="AV480" s="2" t="s">
        <v>8</v>
      </c>
      <c r="AZ480" s="2" t="s">
        <v>3</v>
      </c>
      <c r="BD480" s="2" t="s">
        <v>4</v>
      </c>
      <c r="BH480" s="2" t="s">
        <v>5</v>
      </c>
      <c r="BL480" s="2" t="s">
        <v>3</v>
      </c>
      <c r="BP480" s="2" t="s">
        <v>4</v>
      </c>
      <c r="BT480" s="2" t="s">
        <v>5</v>
      </c>
      <c r="BX480" s="2" t="s">
        <v>3</v>
      </c>
      <c r="CB480" s="2" t="s">
        <v>4</v>
      </c>
      <c r="CF480" s="2" t="s">
        <v>5</v>
      </c>
      <c r="CJ480" s="2" t="s">
        <v>6</v>
      </c>
    </row>
    <row r="481" spans="1:88" s="3" customFormat="1" x14ac:dyDescent="0.35">
      <c r="A481" s="3" t="s">
        <v>1534</v>
      </c>
      <c r="D481" s="5" t="s">
        <v>406</v>
      </c>
      <c r="H481" s="5" t="s">
        <v>406</v>
      </c>
      <c r="L481" s="5" t="s">
        <v>406</v>
      </c>
      <c r="P481" s="5" t="s">
        <v>406</v>
      </c>
      <c r="T481" s="5" t="s">
        <v>406</v>
      </c>
      <c r="X481" s="5" t="s">
        <v>406</v>
      </c>
      <c r="AB481" s="5" t="s">
        <v>406</v>
      </c>
      <c r="AF481" s="5" t="s">
        <v>406</v>
      </c>
      <c r="AJ481" s="5" t="s">
        <v>406</v>
      </c>
      <c r="AN481" s="5" t="s">
        <v>406</v>
      </c>
      <c r="AR481" s="5" t="s">
        <v>406</v>
      </c>
      <c r="AV481" s="5" t="s">
        <v>406</v>
      </c>
      <c r="AZ481" s="5" t="s">
        <v>406</v>
      </c>
      <c r="BD481" s="5" t="s">
        <v>406</v>
      </c>
      <c r="BH481" s="5" t="s">
        <v>406</v>
      </c>
      <c r="BL481" s="5" t="s">
        <v>406</v>
      </c>
      <c r="BP481" s="5" t="s">
        <v>406</v>
      </c>
      <c r="BT481" s="5" t="s">
        <v>406</v>
      </c>
      <c r="BX481" s="5" t="s">
        <v>406</v>
      </c>
      <c r="CB481" s="5" t="s">
        <v>406</v>
      </c>
      <c r="CF481" s="5" t="s">
        <v>406</v>
      </c>
      <c r="CJ481" s="5" t="s">
        <v>406</v>
      </c>
    </row>
    <row r="482" spans="1:88" x14ac:dyDescent="0.35">
      <c r="A482" s="1" t="s">
        <v>1535</v>
      </c>
      <c r="B482">
        <v>0</v>
      </c>
      <c r="C482" s="6">
        <v>0</v>
      </c>
      <c r="D482" s="6">
        <f>0/$D$3</f>
        <v>0</v>
      </c>
      <c r="F482">
        <v>0</v>
      </c>
      <c r="G482" s="6">
        <v>0</v>
      </c>
      <c r="H482" s="6">
        <f>0/$H$3</f>
        <v>0</v>
      </c>
      <c r="J482">
        <v>0</v>
      </c>
      <c r="K482" s="6">
        <v>0</v>
      </c>
      <c r="L482" s="6">
        <f>0/$L$3</f>
        <v>0</v>
      </c>
      <c r="N482">
        <v>0</v>
      </c>
      <c r="O482" s="6">
        <v>0</v>
      </c>
      <c r="P482" s="6">
        <f>0/$P$3</f>
        <v>0</v>
      </c>
      <c r="R482">
        <v>0</v>
      </c>
      <c r="S482" s="6">
        <v>0</v>
      </c>
      <c r="T482" s="6">
        <f>0/$T$3</f>
        <v>0</v>
      </c>
      <c r="V482">
        <v>0</v>
      </c>
      <c r="W482" s="6">
        <v>0</v>
      </c>
      <c r="X482" s="6">
        <f>0/$X$3</f>
        <v>0</v>
      </c>
      <c r="Z482">
        <v>0</v>
      </c>
      <c r="AA482" s="6">
        <v>0</v>
      </c>
      <c r="AB482" s="6">
        <f>0/$AB$3</f>
        <v>0</v>
      </c>
      <c r="AD482">
        <v>0</v>
      </c>
      <c r="AE482" s="6">
        <v>0</v>
      </c>
      <c r="AF482" s="6">
        <f>0/$AF$3</f>
        <v>0</v>
      </c>
      <c r="AH482">
        <v>0</v>
      </c>
      <c r="AI482" s="6">
        <v>0</v>
      </c>
      <c r="AJ482" s="6">
        <f>0/$AJ$3</f>
        <v>0</v>
      </c>
      <c r="AL482">
        <v>0</v>
      </c>
      <c r="AM482" s="6">
        <v>0</v>
      </c>
      <c r="AN482" s="6">
        <f>0/$AN$3</f>
        <v>0</v>
      </c>
      <c r="AP482">
        <v>0</v>
      </c>
      <c r="AQ482" s="6">
        <v>0</v>
      </c>
      <c r="AR482" s="6">
        <f>0/$AR$3</f>
        <v>0</v>
      </c>
      <c r="AT482">
        <v>0</v>
      </c>
      <c r="AU482" s="6">
        <v>0</v>
      </c>
      <c r="AV482" s="6">
        <f>0/$AV$3</f>
        <v>0</v>
      </c>
      <c r="AX482">
        <v>0</v>
      </c>
      <c r="AY482" s="6">
        <v>0</v>
      </c>
      <c r="AZ482" s="6">
        <f>0/$AZ$3</f>
        <v>0</v>
      </c>
      <c r="BB482">
        <v>0</v>
      </c>
      <c r="BC482" s="6">
        <v>0</v>
      </c>
      <c r="BD482" s="6">
        <f>0/$BD$3</f>
        <v>0</v>
      </c>
      <c r="BF482">
        <v>0</v>
      </c>
      <c r="BG482" s="6">
        <v>0</v>
      </c>
      <c r="BH482" s="6">
        <f>0/$BH$3</f>
        <v>0</v>
      </c>
      <c r="BJ482">
        <v>0</v>
      </c>
      <c r="BK482" s="6">
        <v>0</v>
      </c>
      <c r="BL482" s="6">
        <f>0/$BL$3</f>
        <v>0</v>
      </c>
      <c r="BN482">
        <v>0</v>
      </c>
      <c r="BO482" s="6">
        <v>0</v>
      </c>
      <c r="BP482" s="6">
        <f>0/$BP$3</f>
        <v>0</v>
      </c>
      <c r="BR482">
        <v>0</v>
      </c>
      <c r="BS482" s="6">
        <v>0</v>
      </c>
      <c r="BT482" s="6">
        <f>0/$BT$3</f>
        <v>0</v>
      </c>
      <c r="BV482">
        <v>0</v>
      </c>
      <c r="BW482" s="6">
        <v>0</v>
      </c>
      <c r="BX482" s="6">
        <f>0/$BX$3</f>
        <v>0</v>
      </c>
      <c r="BZ482">
        <v>0</v>
      </c>
      <c r="CA482" s="6">
        <v>0</v>
      </c>
      <c r="CB482" s="6">
        <f>0/$CB$3</f>
        <v>0</v>
      </c>
      <c r="CD482">
        <v>0</v>
      </c>
      <c r="CE482" s="6">
        <v>0</v>
      </c>
      <c r="CF482" s="6">
        <f>0/$CF$3</f>
        <v>0</v>
      </c>
      <c r="CH482">
        <v>0</v>
      </c>
      <c r="CI482" s="6">
        <v>0</v>
      </c>
      <c r="CJ482" s="6">
        <f>0/$CJ$3</f>
        <v>0</v>
      </c>
    </row>
    <row r="483" spans="1:88" x14ac:dyDescent="0.35">
      <c r="A483" s="1" t="s">
        <v>409</v>
      </c>
      <c r="B483">
        <v>0</v>
      </c>
      <c r="C483" s="6">
        <v>0</v>
      </c>
      <c r="D483" s="6">
        <f>0/$D$3</f>
        <v>0</v>
      </c>
      <c r="F483">
        <v>0</v>
      </c>
      <c r="G483" s="6">
        <v>0</v>
      </c>
      <c r="H483" s="6">
        <f>0/$H$3</f>
        <v>0</v>
      </c>
      <c r="J483">
        <v>0</v>
      </c>
      <c r="K483" s="6">
        <v>0</v>
      </c>
      <c r="L483" s="6">
        <f>0/$L$3</f>
        <v>0</v>
      </c>
      <c r="N483">
        <v>0</v>
      </c>
      <c r="O483" s="6">
        <v>0</v>
      </c>
      <c r="P483" s="6">
        <f>0/$P$3</f>
        <v>0</v>
      </c>
      <c r="R483">
        <v>0</v>
      </c>
      <c r="S483" s="6">
        <v>0</v>
      </c>
      <c r="T483" s="6">
        <f>0/$T$3</f>
        <v>0</v>
      </c>
      <c r="V483">
        <v>0</v>
      </c>
      <c r="W483" s="6">
        <v>0</v>
      </c>
      <c r="X483" s="6">
        <f>0/$X$3</f>
        <v>0</v>
      </c>
      <c r="Z483">
        <v>0</v>
      </c>
      <c r="AA483" s="6">
        <v>0</v>
      </c>
      <c r="AB483" s="6">
        <f>0/$AB$3</f>
        <v>0</v>
      </c>
      <c r="AD483">
        <v>0</v>
      </c>
      <c r="AE483" s="6">
        <v>0</v>
      </c>
      <c r="AF483" s="6">
        <f>0/$AF$3</f>
        <v>0</v>
      </c>
      <c r="AH483">
        <v>0</v>
      </c>
      <c r="AI483" s="6">
        <v>0</v>
      </c>
      <c r="AJ483" s="6">
        <f>0/$AJ$3</f>
        <v>0</v>
      </c>
      <c r="AL483">
        <v>0</v>
      </c>
      <c r="AM483" s="6">
        <v>0</v>
      </c>
      <c r="AN483" s="6">
        <f>0/$AN$3</f>
        <v>0</v>
      </c>
      <c r="AP483">
        <v>0</v>
      </c>
      <c r="AQ483" s="6">
        <v>0</v>
      </c>
      <c r="AR483" s="6">
        <f>0/$AR$3</f>
        <v>0</v>
      </c>
      <c r="AT483">
        <v>0</v>
      </c>
      <c r="AU483" s="6">
        <v>0</v>
      </c>
      <c r="AV483" s="6">
        <f>0/$AV$3</f>
        <v>0</v>
      </c>
      <c r="AX483">
        <v>0</v>
      </c>
      <c r="AY483" s="6">
        <v>0</v>
      </c>
      <c r="AZ483" s="6">
        <f>0/$AZ$3</f>
        <v>0</v>
      </c>
      <c r="BB483">
        <v>0</v>
      </c>
      <c r="BC483" s="6">
        <v>0</v>
      </c>
      <c r="BD483" s="6">
        <f>0/$BD$3</f>
        <v>0</v>
      </c>
      <c r="BF483">
        <v>0</v>
      </c>
      <c r="BG483" s="6">
        <v>0</v>
      </c>
      <c r="BH483" s="6">
        <f>0/$BH$3</f>
        <v>0</v>
      </c>
      <c r="BJ483">
        <v>0</v>
      </c>
      <c r="BK483" s="6">
        <v>0</v>
      </c>
      <c r="BL483" s="6">
        <f>0/$BL$3</f>
        <v>0</v>
      </c>
      <c r="BN483">
        <v>0</v>
      </c>
      <c r="BO483" s="6">
        <v>0</v>
      </c>
      <c r="BP483" s="6">
        <f>0/$BP$3</f>
        <v>0</v>
      </c>
      <c r="BR483">
        <v>0</v>
      </c>
      <c r="BS483" s="6">
        <v>0</v>
      </c>
      <c r="BT483" s="6">
        <f>0/$BT$3</f>
        <v>0</v>
      </c>
      <c r="BV483">
        <v>0</v>
      </c>
      <c r="BW483" s="6">
        <v>0</v>
      </c>
      <c r="BX483" s="6">
        <f>0/$BX$3</f>
        <v>0</v>
      </c>
      <c r="BZ483">
        <v>0</v>
      </c>
      <c r="CA483" s="6">
        <v>0</v>
      </c>
      <c r="CB483" s="6">
        <f>0/$CB$3</f>
        <v>0</v>
      </c>
      <c r="CD483">
        <v>0</v>
      </c>
      <c r="CE483" s="6">
        <v>0</v>
      </c>
      <c r="CF483" s="6">
        <f>0/$CF$3</f>
        <v>0</v>
      </c>
      <c r="CH483">
        <v>0</v>
      </c>
      <c r="CI483" s="6">
        <v>0</v>
      </c>
      <c r="CJ483" s="6">
        <f>0/$CJ$3</f>
        <v>0</v>
      </c>
    </row>
    <row r="484" spans="1:88" s="10" customFormat="1" x14ac:dyDescent="0.35">
      <c r="A484" s="11" t="s">
        <v>411</v>
      </c>
      <c r="B484" s="10">
        <v>0</v>
      </c>
      <c r="F484" s="10">
        <v>0</v>
      </c>
      <c r="J484" s="10">
        <v>0</v>
      </c>
      <c r="N484" s="10">
        <v>0</v>
      </c>
      <c r="R484" s="10">
        <v>0</v>
      </c>
      <c r="V484" s="10">
        <v>0</v>
      </c>
      <c r="Z484" s="10">
        <v>0</v>
      </c>
      <c r="AD484" s="10">
        <v>0</v>
      </c>
      <c r="AH484" s="10">
        <v>0</v>
      </c>
      <c r="AL484" s="10">
        <v>0</v>
      </c>
      <c r="AP484" s="10">
        <v>0</v>
      </c>
      <c r="AT484" s="10">
        <v>0</v>
      </c>
      <c r="AX484" s="10">
        <v>0</v>
      </c>
      <c r="BB484" s="10">
        <v>0</v>
      </c>
      <c r="BF484" s="10">
        <v>0</v>
      </c>
      <c r="BJ484" s="10">
        <v>0</v>
      </c>
      <c r="BN484" s="10">
        <v>0</v>
      </c>
      <c r="BR484" s="10">
        <v>0</v>
      </c>
      <c r="BV484" s="10">
        <v>0</v>
      </c>
      <c r="BZ484" s="10">
        <v>0</v>
      </c>
      <c r="CD484" s="10">
        <v>0</v>
      </c>
      <c r="CH484" s="10">
        <v>0</v>
      </c>
    </row>
    <row r="485" spans="1:88" hidden="1" x14ac:dyDescent="0.35">
      <c r="A485" s="12" t="s">
        <v>412</v>
      </c>
      <c r="B485">
        <v>0</v>
      </c>
      <c r="F485">
        <v>0</v>
      </c>
      <c r="J485">
        <v>0</v>
      </c>
      <c r="N485">
        <v>0</v>
      </c>
      <c r="R485">
        <v>0</v>
      </c>
      <c r="V485">
        <v>0</v>
      </c>
      <c r="Z485">
        <v>0</v>
      </c>
      <c r="AD485">
        <v>0</v>
      </c>
      <c r="AH485">
        <v>0</v>
      </c>
      <c r="AL485">
        <v>0</v>
      </c>
      <c r="AP485">
        <v>0</v>
      </c>
      <c r="AT485">
        <v>0</v>
      </c>
      <c r="AX485">
        <v>0</v>
      </c>
      <c r="BB485">
        <v>0</v>
      </c>
      <c r="BF485">
        <v>0</v>
      </c>
      <c r="BJ485">
        <v>0</v>
      </c>
      <c r="BN485">
        <v>0</v>
      </c>
      <c r="BR485">
        <v>0</v>
      </c>
      <c r="BV485">
        <v>0</v>
      </c>
      <c r="BZ485">
        <v>0</v>
      </c>
      <c r="CD485">
        <v>0</v>
      </c>
      <c r="CH485">
        <v>0</v>
      </c>
    </row>
    <row r="486" spans="1:88" s="13" customFormat="1" x14ac:dyDescent="0.35">
      <c r="A486" s="12" t="s">
        <v>413</v>
      </c>
      <c r="B486" s="13">
        <v>1100</v>
      </c>
      <c r="F486" s="13">
        <v>911</v>
      </c>
      <c r="J486" s="13">
        <v>434</v>
      </c>
      <c r="N486" s="13">
        <v>81</v>
      </c>
      <c r="R486" s="13">
        <v>560</v>
      </c>
      <c r="V486" s="13">
        <v>540</v>
      </c>
      <c r="Z486" s="13">
        <v>113</v>
      </c>
      <c r="AD486" s="13">
        <v>198</v>
      </c>
      <c r="AH486" s="13">
        <v>247</v>
      </c>
      <c r="AL486" s="13">
        <v>232</v>
      </c>
      <c r="AP486" s="13">
        <v>186</v>
      </c>
      <c r="AT486" s="13">
        <v>124</v>
      </c>
      <c r="AX486" s="13">
        <v>430</v>
      </c>
      <c r="BB486" s="13">
        <v>428</v>
      </c>
      <c r="BF486" s="13">
        <v>242</v>
      </c>
      <c r="BJ486" s="13">
        <v>403</v>
      </c>
      <c r="BN486" s="13">
        <v>423</v>
      </c>
      <c r="BR486" s="13">
        <v>274</v>
      </c>
      <c r="BV486" s="13">
        <v>305</v>
      </c>
      <c r="BZ486" s="13">
        <v>224</v>
      </c>
      <c r="CD486" s="13">
        <v>241</v>
      </c>
      <c r="CH486" s="13">
        <v>330</v>
      </c>
    </row>
    <row r="488" spans="1:88" x14ac:dyDescent="0.35">
      <c r="AB488" s="2" t="s">
        <v>3</v>
      </c>
      <c r="AF488" s="2" t="s">
        <v>4</v>
      </c>
      <c r="AJ488" s="2" t="s">
        <v>5</v>
      </c>
      <c r="AN488" s="2" t="s">
        <v>6</v>
      </c>
      <c r="AR488" s="2" t="s">
        <v>7</v>
      </c>
      <c r="AV488" s="2" t="s">
        <v>8</v>
      </c>
      <c r="AZ488" s="2" t="s">
        <v>3</v>
      </c>
      <c r="BD488" s="2" t="s">
        <v>4</v>
      </c>
      <c r="BH488" s="2" t="s">
        <v>5</v>
      </c>
      <c r="BL488" s="2" t="s">
        <v>3</v>
      </c>
      <c r="BP488" s="2" t="s">
        <v>4</v>
      </c>
      <c r="BT488" s="2" t="s">
        <v>5</v>
      </c>
      <c r="BX488" s="2" t="s">
        <v>3</v>
      </c>
      <c r="CB488" s="2" t="s">
        <v>4</v>
      </c>
      <c r="CF488" s="2" t="s">
        <v>5</v>
      </c>
      <c r="CJ488" s="2" t="s">
        <v>6</v>
      </c>
    </row>
    <row r="489" spans="1:88" s="3" customFormat="1" x14ac:dyDescent="0.35">
      <c r="A489" s="3" t="s">
        <v>1536</v>
      </c>
      <c r="D489" s="5" t="s">
        <v>406</v>
      </c>
      <c r="H489" s="5" t="s">
        <v>406</v>
      </c>
      <c r="L489" s="5" t="s">
        <v>406</v>
      </c>
      <c r="P489" s="5" t="s">
        <v>406</v>
      </c>
      <c r="T489" s="5" t="s">
        <v>406</v>
      </c>
      <c r="X489" s="5" t="s">
        <v>406</v>
      </c>
      <c r="AB489" s="5" t="s">
        <v>406</v>
      </c>
      <c r="AF489" s="5" t="s">
        <v>406</v>
      </c>
      <c r="AJ489" s="5" t="s">
        <v>406</v>
      </c>
      <c r="AN489" s="5" t="s">
        <v>406</v>
      </c>
      <c r="AR489" s="5" t="s">
        <v>406</v>
      </c>
      <c r="AV489" s="5" t="s">
        <v>406</v>
      </c>
      <c r="AZ489" s="5" t="s">
        <v>406</v>
      </c>
      <c r="BD489" s="5" t="s">
        <v>406</v>
      </c>
      <c r="BH489" s="5" t="s">
        <v>406</v>
      </c>
      <c r="BL489" s="5" t="s">
        <v>406</v>
      </c>
      <c r="BP489" s="5" t="s">
        <v>406</v>
      </c>
      <c r="BT489" s="5" t="s">
        <v>406</v>
      </c>
      <c r="BX489" s="5" t="s">
        <v>406</v>
      </c>
      <c r="CB489" s="5" t="s">
        <v>406</v>
      </c>
      <c r="CF489" s="5" t="s">
        <v>406</v>
      </c>
      <c r="CJ489" s="5" t="s">
        <v>406</v>
      </c>
    </row>
    <row r="490" spans="1:88" x14ac:dyDescent="0.35">
      <c r="A490" s="1" t="s">
        <v>1537</v>
      </c>
      <c r="B490">
        <v>154</v>
      </c>
      <c r="C490" s="6">
        <f>B490/B601</f>
        <v>0.14951456310679612</v>
      </c>
      <c r="D490" s="6">
        <f>154/$D$3</f>
        <v>0.14000000000000001</v>
      </c>
      <c r="F490">
        <v>139</v>
      </c>
      <c r="G490" s="6">
        <f>F490/F601</f>
        <v>0.16013824884792627</v>
      </c>
      <c r="H490" s="6">
        <f>139/$H$3</f>
        <v>0.15257958287596049</v>
      </c>
      <c r="J490">
        <v>74</v>
      </c>
      <c r="K490" s="6">
        <f>J490/J601</f>
        <v>0.1761904761904762</v>
      </c>
      <c r="L490" s="6">
        <f>74/$L$3</f>
        <v>0.17050691244239632</v>
      </c>
      <c r="N490">
        <v>19</v>
      </c>
      <c r="O490" s="6">
        <f>N490/N601</f>
        <v>0.24675324675324675</v>
      </c>
      <c r="P490" s="9">
        <f>19/$P$3</f>
        <v>0.23456790123456789</v>
      </c>
      <c r="R490">
        <v>63</v>
      </c>
      <c r="S490" s="6">
        <f>R490/R601</f>
        <v>0.12022900763358779</v>
      </c>
      <c r="T490" s="6">
        <f>63/$T$3</f>
        <v>0.1125</v>
      </c>
      <c r="V490">
        <v>91</v>
      </c>
      <c r="W490" s="6">
        <f>V490/V601</f>
        <v>0.17984189723320157</v>
      </c>
      <c r="X490" s="6">
        <f>91/$X$3</f>
        <v>0.16851851851851851</v>
      </c>
      <c r="Z490">
        <v>33</v>
      </c>
      <c r="AA490" s="6">
        <f>Z490/Z601</f>
        <v>0.31132075471698112</v>
      </c>
      <c r="AB490" s="9">
        <f>33/$AB$3</f>
        <v>0.29203539823008851</v>
      </c>
      <c r="AC490" s="7"/>
      <c r="AD490">
        <v>29</v>
      </c>
      <c r="AE490" s="6">
        <f>AD490/AD601</f>
        <v>0.15425531914893617</v>
      </c>
      <c r="AF490" s="6">
        <f>29/$AF$3</f>
        <v>0.14646464646464646</v>
      </c>
      <c r="AH490">
        <v>36</v>
      </c>
      <c r="AI490" s="6">
        <f>AH490/AH601</f>
        <v>0.15517241379310345</v>
      </c>
      <c r="AJ490" s="6">
        <f>36/$AJ$3</f>
        <v>0.145748987854251</v>
      </c>
      <c r="AL490">
        <v>27</v>
      </c>
      <c r="AM490" s="6">
        <f>AL490/AL601</f>
        <v>0.12385321100917432</v>
      </c>
      <c r="AN490" s="6">
        <f>27/$AN$3</f>
        <v>0.11637931034482758</v>
      </c>
      <c r="AP490">
        <v>19</v>
      </c>
      <c r="AQ490" s="6">
        <f>AP490/AP601</f>
        <v>0.11242603550295859</v>
      </c>
      <c r="AR490" s="6">
        <f>19/$AR$3</f>
        <v>0.10215053763440861</v>
      </c>
      <c r="AT490">
        <v>10</v>
      </c>
      <c r="AU490" s="6">
        <f>AT490/AT601</f>
        <v>8.5470085470085472E-2</v>
      </c>
      <c r="AV490" s="8">
        <f>10/$AV$3</f>
        <v>8.0645161290322578E-2</v>
      </c>
      <c r="AX490">
        <v>71</v>
      </c>
      <c r="AY490" s="6">
        <f>AX490/AX601</f>
        <v>0.17974683544303796</v>
      </c>
      <c r="AZ490" s="6">
        <f>71/$AZ$3</f>
        <v>0.16511627906976745</v>
      </c>
      <c r="BB490">
        <v>58</v>
      </c>
      <c r="BC490" s="6">
        <f>BB490/BB601</f>
        <v>0.14320987654320988</v>
      </c>
      <c r="BD490" s="6">
        <f>58/$BD$3</f>
        <v>0.13551401869158877</v>
      </c>
      <c r="BF490">
        <v>25</v>
      </c>
      <c r="BG490" s="6">
        <f>BF490/BF601</f>
        <v>0.10869565217391304</v>
      </c>
      <c r="BH490" s="6">
        <f>25/$BH$3</f>
        <v>0.10330578512396695</v>
      </c>
      <c r="BJ490">
        <v>65</v>
      </c>
      <c r="BK490" s="6">
        <f>BJ490/BJ601</f>
        <v>0.17426273458445041</v>
      </c>
      <c r="BL490" s="6">
        <f>65/$BL$3</f>
        <v>0.16129032258064516</v>
      </c>
      <c r="BN490">
        <v>55</v>
      </c>
      <c r="BO490" s="6">
        <f>BN490/BN601</f>
        <v>0.13994910941475827</v>
      </c>
      <c r="BP490" s="6">
        <f>55/$BP$3</f>
        <v>0.13002364066193853</v>
      </c>
      <c r="BR490">
        <v>34</v>
      </c>
      <c r="BS490" s="6">
        <f>BR490/BR601</f>
        <v>0.12878787878787878</v>
      </c>
      <c r="BT490" s="6">
        <f>34/$BT$3</f>
        <v>0.12408759124087591</v>
      </c>
      <c r="BV490">
        <v>43</v>
      </c>
      <c r="BW490" s="6">
        <f>BV490/BV601</f>
        <v>0.15034965034965034</v>
      </c>
      <c r="BX490" s="6">
        <f>43/$BX$3</f>
        <v>0.14098360655737704</v>
      </c>
      <c r="BZ490">
        <v>29</v>
      </c>
      <c r="CA490" s="6">
        <f>BZ490/BZ601</f>
        <v>0.13744075829383887</v>
      </c>
      <c r="CB490" s="6">
        <f>29/$CB$3</f>
        <v>0.12946428571428573</v>
      </c>
      <c r="CD490">
        <v>34</v>
      </c>
      <c r="CE490" s="6">
        <f>CD490/CD601</f>
        <v>0.15246636771300448</v>
      </c>
      <c r="CF490" s="6">
        <f>34/$CF$3</f>
        <v>0.14107883817427386</v>
      </c>
      <c r="CH490">
        <v>48</v>
      </c>
      <c r="CI490" s="6">
        <f>CH490/CH601</f>
        <v>0.15483870967741936</v>
      </c>
      <c r="CJ490" s="6">
        <f>48/$CJ$3</f>
        <v>0.14545454545454545</v>
      </c>
    </row>
    <row r="491" spans="1:88" x14ac:dyDescent="0.35">
      <c r="A491" s="1" t="s">
        <v>1538</v>
      </c>
      <c r="B491">
        <v>91</v>
      </c>
      <c r="C491" s="6">
        <f>B491/B601</f>
        <v>8.8349514563106801E-2</v>
      </c>
      <c r="D491" s="6">
        <f>91/$D$3</f>
        <v>8.2727272727272733E-2</v>
      </c>
      <c r="F491">
        <v>81</v>
      </c>
      <c r="G491" s="6">
        <f>F491/F601</f>
        <v>9.3317972350230413E-2</v>
      </c>
      <c r="H491" s="6">
        <f>81/$H$3</f>
        <v>8.8913282107574099E-2</v>
      </c>
      <c r="J491">
        <v>51</v>
      </c>
      <c r="K491" s="6">
        <f>J491/J601</f>
        <v>0.12142857142857143</v>
      </c>
      <c r="L491" s="6">
        <f>51/$L$3</f>
        <v>0.11751152073732719</v>
      </c>
      <c r="N491">
        <v>6</v>
      </c>
      <c r="O491" s="6">
        <f>N491/N601</f>
        <v>7.792207792207792E-2</v>
      </c>
      <c r="P491" s="6">
        <f>6/$P$3</f>
        <v>7.407407407407407E-2</v>
      </c>
      <c r="R491">
        <v>49</v>
      </c>
      <c r="S491" s="6">
        <f>R491/R601</f>
        <v>9.3511450381679392E-2</v>
      </c>
      <c r="T491" s="6">
        <f>49/$T$3</f>
        <v>8.7499999999999994E-2</v>
      </c>
      <c r="V491">
        <v>42</v>
      </c>
      <c r="W491" s="6">
        <f>V491/V601</f>
        <v>8.3003952569169967E-2</v>
      </c>
      <c r="X491" s="6">
        <f>42/$X$3</f>
        <v>7.7777777777777779E-2</v>
      </c>
      <c r="Z491">
        <v>10</v>
      </c>
      <c r="AA491" s="6">
        <f>Z491/Z601</f>
        <v>9.4339622641509441E-2</v>
      </c>
      <c r="AB491" s="6">
        <f>10/$AB$3</f>
        <v>8.8495575221238937E-2</v>
      </c>
      <c r="AD491">
        <v>11</v>
      </c>
      <c r="AE491" s="6">
        <f>AD491/AD601</f>
        <v>5.8510638297872342E-2</v>
      </c>
      <c r="AF491" s="6">
        <f>11/$AF$3</f>
        <v>5.5555555555555552E-2</v>
      </c>
      <c r="AH491">
        <v>27</v>
      </c>
      <c r="AI491" s="6">
        <f>AH491/AH601</f>
        <v>0.11637931034482758</v>
      </c>
      <c r="AJ491" s="6">
        <f>27/$AJ$3</f>
        <v>0.10931174089068826</v>
      </c>
      <c r="AL491">
        <v>20</v>
      </c>
      <c r="AM491" s="6">
        <f>AL491/AL601</f>
        <v>9.1743119266055051E-2</v>
      </c>
      <c r="AN491" s="6">
        <f>20/$AN$3</f>
        <v>8.6206896551724144E-2</v>
      </c>
      <c r="AP491">
        <v>17</v>
      </c>
      <c r="AQ491" s="6">
        <f>AP491/AP601</f>
        <v>0.10059171597633136</v>
      </c>
      <c r="AR491" s="6">
        <f>17/$AR$3</f>
        <v>9.1397849462365593E-2</v>
      </c>
      <c r="AT491">
        <v>6</v>
      </c>
      <c r="AU491" s="6">
        <f>AT491/AT601</f>
        <v>5.128205128205128E-2</v>
      </c>
      <c r="AV491" s="6">
        <f>6/$AV$3</f>
        <v>4.8387096774193547E-2</v>
      </c>
      <c r="AX491">
        <v>43</v>
      </c>
      <c r="AY491" s="6">
        <f>AX491/AX601</f>
        <v>0.10886075949367088</v>
      </c>
      <c r="AZ491" s="6">
        <f>43/$AZ$3</f>
        <v>0.1</v>
      </c>
      <c r="BB491">
        <v>30</v>
      </c>
      <c r="BC491" s="6">
        <f>BB491/BB601</f>
        <v>7.407407407407407E-2</v>
      </c>
      <c r="BD491" s="6">
        <f>30/$BD$3</f>
        <v>7.0093457943925228E-2</v>
      </c>
      <c r="BF491">
        <v>18</v>
      </c>
      <c r="BG491" s="6">
        <f>BF491/BF601</f>
        <v>7.8260869565217397E-2</v>
      </c>
      <c r="BH491" s="6">
        <f>18/$BH$3</f>
        <v>7.43801652892562E-2</v>
      </c>
      <c r="BJ491">
        <v>41</v>
      </c>
      <c r="BK491" s="6">
        <f>BJ491/BJ601</f>
        <v>0.10991957104557641</v>
      </c>
      <c r="BL491" s="6">
        <f>41/$BL$3</f>
        <v>0.10173697270471464</v>
      </c>
      <c r="BN491">
        <v>24</v>
      </c>
      <c r="BO491" s="6">
        <f>BN491/BN601</f>
        <v>6.1068702290076333E-2</v>
      </c>
      <c r="BP491" s="6">
        <f>24/$BP$3</f>
        <v>5.6737588652482268E-2</v>
      </c>
      <c r="BR491">
        <v>26</v>
      </c>
      <c r="BS491" s="6">
        <f>BR491/BR601</f>
        <v>9.8484848484848481E-2</v>
      </c>
      <c r="BT491" s="6">
        <f>26/$BT$3</f>
        <v>9.4890510948905105E-2</v>
      </c>
      <c r="BV491">
        <v>22</v>
      </c>
      <c r="BW491" s="6">
        <f>BV491/BV601</f>
        <v>7.6923076923076927E-2</v>
      </c>
      <c r="BX491" s="6">
        <f>22/$BX$3</f>
        <v>7.2131147540983612E-2</v>
      </c>
      <c r="BZ491">
        <v>21</v>
      </c>
      <c r="CA491" s="6">
        <f>BZ491/BZ601</f>
        <v>9.9526066350710901E-2</v>
      </c>
      <c r="CB491" s="6">
        <f>21/$CB$3</f>
        <v>9.375E-2</v>
      </c>
      <c r="CD491">
        <v>23</v>
      </c>
      <c r="CE491" s="6">
        <f>CD491/CD601</f>
        <v>0.1031390134529148</v>
      </c>
      <c r="CF491" s="6">
        <f>23/$CF$3</f>
        <v>9.5435684647302899E-2</v>
      </c>
      <c r="CH491">
        <v>25</v>
      </c>
      <c r="CI491" s="6">
        <f>CH491/CH601</f>
        <v>8.0645161290322578E-2</v>
      </c>
      <c r="CJ491" s="6">
        <f>25/$CJ$3</f>
        <v>7.575757575757576E-2</v>
      </c>
    </row>
    <row r="492" spans="1:88" x14ac:dyDescent="0.35">
      <c r="A492" s="1" t="s">
        <v>1539</v>
      </c>
      <c r="B492">
        <v>42</v>
      </c>
      <c r="C492" s="6">
        <f>B492/B601</f>
        <v>4.0776699029126215E-2</v>
      </c>
      <c r="D492" s="6">
        <f>42/$D$3</f>
        <v>3.8181818181818185E-2</v>
      </c>
      <c r="F492">
        <v>39</v>
      </c>
      <c r="G492" s="6">
        <f>F492/F601</f>
        <v>4.4930875576036866E-2</v>
      </c>
      <c r="H492" s="6">
        <f>39/$H$3</f>
        <v>4.2810098792535674E-2</v>
      </c>
      <c r="J492">
        <v>22</v>
      </c>
      <c r="K492" s="6">
        <f>J492/J601</f>
        <v>5.2380952380952382E-2</v>
      </c>
      <c r="L492" s="6">
        <f>22/$L$3</f>
        <v>5.0691244239631339E-2</v>
      </c>
      <c r="N492">
        <v>4</v>
      </c>
      <c r="O492" s="6">
        <f>N492/N601</f>
        <v>5.1948051948051951E-2</v>
      </c>
      <c r="P492" s="6">
        <f>4/$P$3</f>
        <v>4.9382716049382713E-2</v>
      </c>
      <c r="R492">
        <v>21</v>
      </c>
      <c r="S492" s="6">
        <f>R492/R601</f>
        <v>4.0076335877862593E-2</v>
      </c>
      <c r="T492" s="6">
        <f>21/$T$3</f>
        <v>3.7499999999999999E-2</v>
      </c>
      <c r="V492">
        <v>21</v>
      </c>
      <c r="W492" s="6">
        <f>V492/V601</f>
        <v>4.1501976284584984E-2</v>
      </c>
      <c r="X492" s="6">
        <f>21/$X$3</f>
        <v>3.888888888888889E-2</v>
      </c>
      <c r="Z492">
        <v>7</v>
      </c>
      <c r="AA492" s="6">
        <f>Z492/Z601</f>
        <v>6.6037735849056603E-2</v>
      </c>
      <c r="AB492" s="6">
        <f>7/$AB$3</f>
        <v>6.1946902654867256E-2</v>
      </c>
      <c r="AD492">
        <v>12</v>
      </c>
      <c r="AE492" s="6">
        <f>AD492/AD601</f>
        <v>6.3829787234042548E-2</v>
      </c>
      <c r="AF492" s="6">
        <f>12/$AF$3</f>
        <v>6.0606060606060608E-2</v>
      </c>
      <c r="AH492">
        <v>8</v>
      </c>
      <c r="AI492" s="6">
        <f>AH492/AH601</f>
        <v>3.4482758620689655E-2</v>
      </c>
      <c r="AJ492" s="6">
        <f>8/$AJ$3</f>
        <v>3.2388663967611336E-2</v>
      </c>
      <c r="AL492">
        <v>6</v>
      </c>
      <c r="AM492" s="6">
        <f>AL492/AL601</f>
        <v>2.7522935779816515E-2</v>
      </c>
      <c r="AN492" s="6">
        <f>6/$AN$3</f>
        <v>2.5862068965517241E-2</v>
      </c>
      <c r="AP492">
        <v>5</v>
      </c>
      <c r="AQ492" s="6">
        <f>AP492/AP601</f>
        <v>2.9585798816568046E-2</v>
      </c>
      <c r="AR492" s="6">
        <f>5/$AR$3</f>
        <v>2.6881720430107527E-2</v>
      </c>
      <c r="AT492">
        <v>4</v>
      </c>
      <c r="AU492" s="6">
        <f>AT492/AT601</f>
        <v>3.4188034188034191E-2</v>
      </c>
      <c r="AV492" s="6">
        <f>4/$AV$3</f>
        <v>3.2258064516129031E-2</v>
      </c>
      <c r="AX492">
        <v>20</v>
      </c>
      <c r="AY492" s="6">
        <f>AX492/AX601</f>
        <v>5.0632911392405063E-2</v>
      </c>
      <c r="AZ492" s="6">
        <f>20/$AZ$3</f>
        <v>4.6511627906976744E-2</v>
      </c>
      <c r="BB492">
        <v>13</v>
      </c>
      <c r="BC492" s="6">
        <f>BB492/BB601</f>
        <v>3.2098765432098768E-2</v>
      </c>
      <c r="BD492" s="6">
        <f>13/$BD$3</f>
        <v>3.0373831775700934E-2</v>
      </c>
      <c r="BF492">
        <v>9</v>
      </c>
      <c r="BG492" s="6">
        <f>BF492/BF601</f>
        <v>3.9130434782608699E-2</v>
      </c>
      <c r="BH492" s="6">
        <f>9/$BH$3</f>
        <v>3.71900826446281E-2</v>
      </c>
      <c r="BJ492">
        <v>19</v>
      </c>
      <c r="BK492" s="6">
        <f>BJ492/BJ601</f>
        <v>5.0938337801608578E-2</v>
      </c>
      <c r="BL492" s="6">
        <f>19/$BL$3</f>
        <v>4.7146401985111663E-2</v>
      </c>
      <c r="BN492">
        <v>17</v>
      </c>
      <c r="BO492" s="6">
        <f>BN492/BN601</f>
        <v>4.3256997455470736E-2</v>
      </c>
      <c r="BP492" s="6">
        <f>17/$BP$3</f>
        <v>4.0189125295508277E-2</v>
      </c>
      <c r="BR492">
        <v>6</v>
      </c>
      <c r="BS492" s="6">
        <f>BR492/BR601</f>
        <v>2.2727272727272728E-2</v>
      </c>
      <c r="BT492" s="6">
        <f>6/$BT$3</f>
        <v>2.1897810218978103E-2</v>
      </c>
      <c r="BV492">
        <v>8</v>
      </c>
      <c r="BW492" s="6">
        <f>BV492/BV601</f>
        <v>2.7972027972027972E-2</v>
      </c>
      <c r="BX492" s="6">
        <f>8/$BX$3</f>
        <v>2.6229508196721311E-2</v>
      </c>
      <c r="BZ492">
        <v>4</v>
      </c>
      <c r="CA492" s="6">
        <f>BZ492/BZ601</f>
        <v>1.8957345971563982E-2</v>
      </c>
      <c r="CB492" s="6">
        <f>4/$CB$3</f>
        <v>1.7857142857142856E-2</v>
      </c>
      <c r="CD492">
        <v>12</v>
      </c>
      <c r="CE492" s="6">
        <f>CD492/CD601</f>
        <v>5.3811659192825115E-2</v>
      </c>
      <c r="CF492" s="6">
        <f>12/$CF$3</f>
        <v>4.9792531120331947E-2</v>
      </c>
      <c r="CH492">
        <v>18</v>
      </c>
      <c r="CI492" s="6">
        <f>CH492/CH601</f>
        <v>5.8064516129032261E-2</v>
      </c>
      <c r="CJ492" s="6">
        <f>18/$CJ$3</f>
        <v>5.4545454545454543E-2</v>
      </c>
    </row>
    <row r="493" spans="1:88" x14ac:dyDescent="0.35">
      <c r="A493" s="1" t="s">
        <v>1540</v>
      </c>
      <c r="B493">
        <v>122</v>
      </c>
      <c r="C493" s="6">
        <f>B493/B601</f>
        <v>0.11844660194174757</v>
      </c>
      <c r="D493" s="6">
        <f>122/$D$3</f>
        <v>0.11090909090909092</v>
      </c>
      <c r="F493">
        <v>106</v>
      </c>
      <c r="G493" s="6">
        <f>F493/F601</f>
        <v>0.12211981566820276</v>
      </c>
      <c r="H493" s="6">
        <f>106/$H$3</f>
        <v>0.1163556531284303</v>
      </c>
      <c r="J493">
        <v>40</v>
      </c>
      <c r="K493" s="6">
        <f>J493/J601</f>
        <v>9.5238095238095233E-2</v>
      </c>
      <c r="L493" s="6">
        <f>40/$L$3</f>
        <v>9.2165898617511524E-2</v>
      </c>
      <c r="N493">
        <v>13</v>
      </c>
      <c r="O493" s="6">
        <f>N493/N601</f>
        <v>0.16883116883116883</v>
      </c>
      <c r="P493" s="6">
        <f>13/$P$3</f>
        <v>0.16049382716049382</v>
      </c>
      <c r="R493">
        <v>64</v>
      </c>
      <c r="S493" s="6">
        <f>R493/R601</f>
        <v>0.12213740458015267</v>
      </c>
      <c r="T493" s="6">
        <f>64/$T$3</f>
        <v>0.11428571428571428</v>
      </c>
      <c r="V493">
        <v>58</v>
      </c>
      <c r="W493" s="6">
        <f>V493/V601</f>
        <v>0.11462450592885376</v>
      </c>
      <c r="X493" s="6">
        <f>58/$X$3</f>
        <v>0.10740740740740741</v>
      </c>
      <c r="Z493">
        <v>17</v>
      </c>
      <c r="AA493" s="6">
        <f>Z493/Z601</f>
        <v>0.16037735849056603</v>
      </c>
      <c r="AB493" s="6">
        <f>17/$AB$3</f>
        <v>0.15044247787610621</v>
      </c>
      <c r="AD493">
        <v>24</v>
      </c>
      <c r="AE493" s="6">
        <f>AD493/AD601</f>
        <v>0.1276595744680851</v>
      </c>
      <c r="AF493" s="6">
        <f>24/$AF$3</f>
        <v>0.12121212121212122</v>
      </c>
      <c r="AH493">
        <v>24</v>
      </c>
      <c r="AI493" s="6">
        <f>AH493/AH601</f>
        <v>0.10344827586206896</v>
      </c>
      <c r="AJ493" s="6">
        <f>24/$AJ$3</f>
        <v>9.7165991902834009E-2</v>
      </c>
      <c r="AL493">
        <v>30</v>
      </c>
      <c r="AM493" s="6">
        <f>AL493/AL601</f>
        <v>0.13761467889908258</v>
      </c>
      <c r="AN493" s="6">
        <f>30/$AN$3</f>
        <v>0.12931034482758622</v>
      </c>
      <c r="AP493">
        <v>12</v>
      </c>
      <c r="AQ493" s="6">
        <f>AP493/AP601</f>
        <v>7.1005917159763315E-2</v>
      </c>
      <c r="AR493" s="6">
        <f>12/$AR$3</f>
        <v>6.4516129032258063E-2</v>
      </c>
      <c r="AT493">
        <v>15</v>
      </c>
      <c r="AU493" s="6">
        <f>AT493/AT601</f>
        <v>0.12820512820512819</v>
      </c>
      <c r="AV493" s="6">
        <f>15/$AV$3</f>
        <v>0.12096774193548387</v>
      </c>
      <c r="AX493">
        <v>47</v>
      </c>
      <c r="AY493" s="6">
        <f>AX493/AX601</f>
        <v>0.11898734177215189</v>
      </c>
      <c r="AZ493" s="6">
        <f>47/$AZ$3</f>
        <v>0.10930232558139535</v>
      </c>
      <c r="BB493">
        <v>59</v>
      </c>
      <c r="BC493" s="6">
        <f>BB493/BB601</f>
        <v>0.14567901234567901</v>
      </c>
      <c r="BD493" s="6">
        <f>59/$BD$3</f>
        <v>0.13785046728971961</v>
      </c>
      <c r="BE493" s="7" t="s">
        <v>5</v>
      </c>
      <c r="BF493">
        <v>16</v>
      </c>
      <c r="BG493" s="6">
        <f>BF493/BF601</f>
        <v>6.9565217391304349E-2</v>
      </c>
      <c r="BH493" s="6">
        <f>16/$BH$3</f>
        <v>6.6115702479338845E-2</v>
      </c>
      <c r="BJ493">
        <v>43</v>
      </c>
      <c r="BK493" s="6">
        <f>BJ493/BJ601</f>
        <v>0.11528150134048257</v>
      </c>
      <c r="BL493" s="6">
        <f>43/$BL$3</f>
        <v>0.10669975186104218</v>
      </c>
      <c r="BN493">
        <v>51</v>
      </c>
      <c r="BO493" s="6">
        <f>BN493/BN601</f>
        <v>0.12977099236641221</v>
      </c>
      <c r="BP493" s="6">
        <f>51/$BP$3</f>
        <v>0.12056737588652482</v>
      </c>
      <c r="BR493">
        <v>28</v>
      </c>
      <c r="BS493" s="6">
        <f>BR493/BR601</f>
        <v>0.10606060606060606</v>
      </c>
      <c r="BT493" s="6">
        <f>28/$BT$3</f>
        <v>0.10218978102189781</v>
      </c>
      <c r="BV493">
        <v>37</v>
      </c>
      <c r="BW493" s="6">
        <f>BV493/BV601</f>
        <v>0.12937062937062938</v>
      </c>
      <c r="BX493" s="6">
        <f>37/$BX$3</f>
        <v>0.12131147540983607</v>
      </c>
      <c r="BZ493">
        <v>30</v>
      </c>
      <c r="CA493" s="6">
        <f>BZ493/BZ601</f>
        <v>0.14218009478672985</v>
      </c>
      <c r="CB493" s="6">
        <f>30/$CB$3</f>
        <v>0.13392857142857142</v>
      </c>
      <c r="CD493">
        <v>25</v>
      </c>
      <c r="CE493" s="6">
        <f>CD493/CD601</f>
        <v>0.11210762331838565</v>
      </c>
      <c r="CF493" s="6">
        <f>25/$CF$3</f>
        <v>0.1037344398340249</v>
      </c>
      <c r="CH493">
        <v>30</v>
      </c>
      <c r="CI493" s="6">
        <f>CH493/CH601</f>
        <v>9.6774193548387094E-2</v>
      </c>
      <c r="CJ493" s="6">
        <f>30/$CJ$3</f>
        <v>9.0909090909090912E-2</v>
      </c>
    </row>
    <row r="494" spans="1:88" x14ac:dyDescent="0.35">
      <c r="A494" s="1" t="s">
        <v>1541</v>
      </c>
      <c r="B494">
        <v>86</v>
      </c>
      <c r="C494" s="6">
        <f>B494/B601</f>
        <v>8.3495145631067955E-2</v>
      </c>
      <c r="D494" s="6">
        <f>86/$D$3</f>
        <v>7.8181818181818186E-2</v>
      </c>
      <c r="F494">
        <v>81</v>
      </c>
      <c r="G494" s="6">
        <f>F494/F601</f>
        <v>9.3317972350230413E-2</v>
      </c>
      <c r="H494" s="6">
        <f>81/$H$3</f>
        <v>8.8913282107574099E-2</v>
      </c>
      <c r="J494">
        <v>60</v>
      </c>
      <c r="K494" s="6">
        <f>J494/J601</f>
        <v>0.14285714285714285</v>
      </c>
      <c r="L494" s="6">
        <f>60/$L$3</f>
        <v>0.13824884792626729</v>
      </c>
      <c r="N494">
        <v>5</v>
      </c>
      <c r="O494" s="6">
        <f>N494/N601</f>
        <v>6.4935064935064929E-2</v>
      </c>
      <c r="P494" s="6">
        <f>5/$P$3</f>
        <v>6.1728395061728392E-2</v>
      </c>
      <c r="R494">
        <v>52</v>
      </c>
      <c r="S494" s="6">
        <f>R494/R601</f>
        <v>9.9236641221374045E-2</v>
      </c>
      <c r="T494" s="6">
        <f>52/$T$3</f>
        <v>9.285714285714286E-2</v>
      </c>
      <c r="V494">
        <v>34</v>
      </c>
      <c r="W494" s="6">
        <f>V494/V601</f>
        <v>6.7193675889328064E-2</v>
      </c>
      <c r="X494" s="6">
        <f>34/$X$3</f>
        <v>6.2962962962962957E-2</v>
      </c>
      <c r="Z494">
        <v>10</v>
      </c>
      <c r="AA494" s="6">
        <f>Z494/Z601</f>
        <v>9.4339622641509441E-2</v>
      </c>
      <c r="AB494" s="6">
        <f>10/$AB$3</f>
        <v>8.8495575221238937E-2</v>
      </c>
      <c r="AD494">
        <v>20</v>
      </c>
      <c r="AE494" s="6">
        <f>AD494/AD601</f>
        <v>0.10638297872340426</v>
      </c>
      <c r="AF494" s="6">
        <f>20/$AF$3</f>
        <v>0.10101010101010101</v>
      </c>
      <c r="AH494">
        <v>23</v>
      </c>
      <c r="AI494" s="6">
        <f>AH494/AH601</f>
        <v>9.9137931034482762E-2</v>
      </c>
      <c r="AJ494" s="6">
        <f>23/$AJ$3</f>
        <v>9.3117408906882596E-2</v>
      </c>
      <c r="AL494">
        <v>20</v>
      </c>
      <c r="AM494" s="6">
        <f>AL494/AL601</f>
        <v>9.1743119266055051E-2</v>
      </c>
      <c r="AN494" s="6">
        <f>20/$AN$3</f>
        <v>8.6206896551724144E-2</v>
      </c>
      <c r="AP494">
        <v>9</v>
      </c>
      <c r="AQ494" s="6">
        <f>AP494/AP601</f>
        <v>5.3254437869822487E-2</v>
      </c>
      <c r="AR494" s="6">
        <f>9/$AR$3</f>
        <v>4.8387096774193547E-2</v>
      </c>
      <c r="AT494">
        <v>4</v>
      </c>
      <c r="AU494" s="6">
        <f>AT494/AT601</f>
        <v>3.4188034188034191E-2</v>
      </c>
      <c r="AV494" s="6">
        <f>4/$AV$3</f>
        <v>3.2258064516129031E-2</v>
      </c>
      <c r="AX494">
        <v>34</v>
      </c>
      <c r="AY494" s="6">
        <f>AX494/AX601</f>
        <v>8.6075949367088608E-2</v>
      </c>
      <c r="AZ494" s="6">
        <f>34/$AZ$3</f>
        <v>7.9069767441860464E-2</v>
      </c>
      <c r="BB494">
        <v>31</v>
      </c>
      <c r="BC494" s="6">
        <f>BB494/BB601</f>
        <v>7.6543209876543214E-2</v>
      </c>
      <c r="BD494" s="6">
        <f>31/$BD$3</f>
        <v>7.2429906542056069E-2</v>
      </c>
      <c r="BF494">
        <v>21</v>
      </c>
      <c r="BG494" s="6">
        <f>BF494/BF601</f>
        <v>9.1304347826086957E-2</v>
      </c>
      <c r="BH494" s="6">
        <f>21/$BH$3</f>
        <v>8.6776859504132234E-2</v>
      </c>
      <c r="BJ494">
        <v>25</v>
      </c>
      <c r="BK494" s="6">
        <f>BJ494/BJ601</f>
        <v>6.7024128686327081E-2</v>
      </c>
      <c r="BL494" s="6">
        <f>25/$BL$3</f>
        <v>6.2034739454094295E-2</v>
      </c>
      <c r="BN494">
        <v>41</v>
      </c>
      <c r="BO494" s="6">
        <f>BN494/BN601</f>
        <v>0.10432569974554708</v>
      </c>
      <c r="BP494" s="6">
        <f>41/$BP$3</f>
        <v>9.6926713947990545E-2</v>
      </c>
      <c r="BR494">
        <v>20</v>
      </c>
      <c r="BS494" s="6">
        <f>BR494/BR601</f>
        <v>7.575757575757576E-2</v>
      </c>
      <c r="BT494" s="6">
        <f>20/$BT$3</f>
        <v>7.2992700729927001E-2</v>
      </c>
      <c r="BV494">
        <v>28</v>
      </c>
      <c r="BW494" s="6">
        <f>BV494/BV601</f>
        <v>9.7902097902097904E-2</v>
      </c>
      <c r="BX494" s="6">
        <f>28/$BX$3</f>
        <v>9.1803278688524587E-2</v>
      </c>
      <c r="BZ494">
        <v>20</v>
      </c>
      <c r="CA494" s="6">
        <f>BZ494/BZ601</f>
        <v>9.4786729857819899E-2</v>
      </c>
      <c r="CB494" s="6">
        <f>20/$CB$3</f>
        <v>8.9285714285714288E-2</v>
      </c>
      <c r="CD494">
        <v>16</v>
      </c>
      <c r="CE494" s="6">
        <f>CD494/CD601</f>
        <v>7.1748878923766815E-2</v>
      </c>
      <c r="CF494" s="6">
        <f>16/$CF$3</f>
        <v>6.6390041493775934E-2</v>
      </c>
      <c r="CH494">
        <v>22</v>
      </c>
      <c r="CI494" s="6">
        <f>CH494/CH601</f>
        <v>7.0967741935483872E-2</v>
      </c>
      <c r="CJ494" s="6">
        <f>22/$CJ$3</f>
        <v>6.6666666666666666E-2</v>
      </c>
    </row>
    <row r="495" spans="1:88" x14ac:dyDescent="0.35">
      <c r="A495" s="1" t="s">
        <v>1542</v>
      </c>
      <c r="B495">
        <v>535</v>
      </c>
      <c r="C495" s="6">
        <f>B495/B601</f>
        <v>0.51941747572815533</v>
      </c>
      <c r="D495" s="6">
        <f>535/$D$3</f>
        <v>0.48636363636363639</v>
      </c>
      <c r="F495">
        <v>422</v>
      </c>
      <c r="G495" s="6">
        <f>F495/F601</f>
        <v>0.48617511520737328</v>
      </c>
      <c r="H495" s="6">
        <f>422/$H$3</f>
        <v>0.4632272228320527</v>
      </c>
      <c r="J495">
        <v>173</v>
      </c>
      <c r="K495" s="6">
        <f>J495/J601</f>
        <v>0.41190476190476188</v>
      </c>
      <c r="L495" s="8">
        <f>173/$L$3</f>
        <v>0.39861751152073732</v>
      </c>
      <c r="N495">
        <v>30</v>
      </c>
      <c r="O495" s="6">
        <f>N495/N601</f>
        <v>0.38961038961038963</v>
      </c>
      <c r="P495" s="8">
        <f>30/$P$3</f>
        <v>0.37037037037037035</v>
      </c>
      <c r="R495">
        <v>275</v>
      </c>
      <c r="S495" s="6">
        <f>R495/R601</f>
        <v>0.52480916030534353</v>
      </c>
      <c r="T495" s="6">
        <f>275/$T$3</f>
        <v>0.49107142857142855</v>
      </c>
      <c r="V495">
        <v>260</v>
      </c>
      <c r="W495" s="6">
        <f>V495/V601</f>
        <v>0.51383399209486169</v>
      </c>
      <c r="X495" s="6">
        <f>260/$X$3</f>
        <v>0.48148148148148145</v>
      </c>
      <c r="Z495">
        <v>29</v>
      </c>
      <c r="AA495" s="6">
        <f>Z495/Z601</f>
        <v>0.27358490566037735</v>
      </c>
      <c r="AB495" s="8">
        <f>29/$AB$3</f>
        <v>0.25663716814159293</v>
      </c>
      <c r="AD495">
        <v>92</v>
      </c>
      <c r="AE495" s="6">
        <f>AD495/AD601</f>
        <v>0.48936170212765956</v>
      </c>
      <c r="AF495" s="6">
        <f>92/$AF$3</f>
        <v>0.46464646464646464</v>
      </c>
      <c r="AG495" s="7"/>
      <c r="AH495">
        <v>114</v>
      </c>
      <c r="AI495" s="6">
        <f>AH495/AH601</f>
        <v>0.49137931034482757</v>
      </c>
      <c r="AJ495" s="6">
        <f>114/$AJ$3</f>
        <v>0.46153846153846156</v>
      </c>
      <c r="AK495" s="7"/>
      <c r="AL495">
        <v>115</v>
      </c>
      <c r="AM495" s="6">
        <f>AL495/AL601</f>
        <v>0.52752293577981646</v>
      </c>
      <c r="AN495" s="6">
        <f>115/$AN$3</f>
        <v>0.49568965517241381</v>
      </c>
      <c r="AO495" s="7"/>
      <c r="AP495">
        <v>107</v>
      </c>
      <c r="AQ495" s="6">
        <f>AP495/AP601</f>
        <v>0.63313609467455623</v>
      </c>
      <c r="AR495" s="9">
        <f>107/$AR$3</f>
        <v>0.57526881720430112</v>
      </c>
      <c r="AS495" s="7"/>
      <c r="AT495">
        <v>78</v>
      </c>
      <c r="AU495" s="6">
        <f>AT495/AT601</f>
        <v>0.66666666666666663</v>
      </c>
      <c r="AV495" s="9">
        <f>78/$AV$3</f>
        <v>0.62903225806451613</v>
      </c>
      <c r="AW495" s="7"/>
      <c r="AX495">
        <v>180</v>
      </c>
      <c r="AY495" s="6">
        <f>AX495/AX601</f>
        <v>0.45569620253164556</v>
      </c>
      <c r="AZ495" s="8">
        <f>180/$AZ$3</f>
        <v>0.41860465116279072</v>
      </c>
      <c r="BB495">
        <v>214</v>
      </c>
      <c r="BC495" s="6">
        <f>BB495/BB601</f>
        <v>0.52839506172839501</v>
      </c>
      <c r="BD495" s="6">
        <f>214/$BD$3</f>
        <v>0.5</v>
      </c>
      <c r="BF495">
        <v>141</v>
      </c>
      <c r="BG495" s="6">
        <f>BF495/BF601</f>
        <v>0.61304347826086958</v>
      </c>
      <c r="BH495" s="9">
        <f>141/$BH$3</f>
        <v>0.5826446280991735</v>
      </c>
      <c r="BI495" s="7" t="s">
        <v>3</v>
      </c>
      <c r="BJ495">
        <v>180</v>
      </c>
      <c r="BK495" s="6">
        <f>BJ495/BJ601</f>
        <v>0.48257372654155495</v>
      </c>
      <c r="BL495" s="6">
        <f>180/$BL$3</f>
        <v>0.4466501240694789</v>
      </c>
      <c r="BN495">
        <v>205</v>
      </c>
      <c r="BO495" s="6">
        <f>BN495/BN601</f>
        <v>0.52162849872773542</v>
      </c>
      <c r="BP495" s="6">
        <f>205/$BP$3</f>
        <v>0.4846335697399527</v>
      </c>
      <c r="BR495">
        <v>150</v>
      </c>
      <c r="BS495" s="6">
        <f>BR495/BR601</f>
        <v>0.56818181818181823</v>
      </c>
      <c r="BT495" s="9">
        <f>150/$BT$3</f>
        <v>0.54744525547445255</v>
      </c>
      <c r="BV495">
        <v>148</v>
      </c>
      <c r="BW495" s="6">
        <f>BV495/BV601</f>
        <v>0.5174825174825175</v>
      </c>
      <c r="BX495" s="6">
        <f>148/$BX$3</f>
        <v>0.48524590163934428</v>
      </c>
      <c r="BZ495">
        <v>107</v>
      </c>
      <c r="CA495" s="6">
        <f>BZ495/BZ601</f>
        <v>0.50710900473933651</v>
      </c>
      <c r="CB495" s="6">
        <f>107/$CB$3</f>
        <v>0.47767857142857145</v>
      </c>
      <c r="CD495">
        <v>113</v>
      </c>
      <c r="CE495" s="6">
        <f>CD495/CD601</f>
        <v>0.50672645739910316</v>
      </c>
      <c r="CF495" s="6">
        <f>113/$CF$3</f>
        <v>0.46887966804979253</v>
      </c>
      <c r="CH495">
        <v>167</v>
      </c>
      <c r="CI495" s="6">
        <f>CH495/CH601</f>
        <v>0.53870967741935483</v>
      </c>
      <c r="CJ495" s="6">
        <f>167/$CJ$3</f>
        <v>0.5060606060606061</v>
      </c>
    </row>
    <row r="497" spans="1:88" x14ac:dyDescent="0.35">
      <c r="A497" s="1" t="s">
        <v>1543</v>
      </c>
      <c r="B497">
        <v>454</v>
      </c>
      <c r="C497" s="6">
        <f>B497/B601</f>
        <v>0.4407766990291262</v>
      </c>
      <c r="D497" s="6">
        <f>454/$D$3</f>
        <v>0.41272727272727272</v>
      </c>
      <c r="F497">
        <v>398</v>
      </c>
      <c r="G497" s="6">
        <f>F497/F601</f>
        <v>0.45852534562211983</v>
      </c>
      <c r="H497" s="6">
        <f>398/$H$3</f>
        <v>0.43688254665203075</v>
      </c>
      <c r="J497">
        <v>188</v>
      </c>
      <c r="K497" s="6">
        <f>J497/J601</f>
        <v>0.44761904761904764</v>
      </c>
      <c r="L497" s="6">
        <f>188/$L$3</f>
        <v>0.43317972350230416</v>
      </c>
      <c r="N497">
        <v>38</v>
      </c>
      <c r="O497" s="6">
        <f>N497/N601</f>
        <v>0.4935064935064935</v>
      </c>
      <c r="P497" s="6">
        <f>38/$P$3</f>
        <v>0.46913580246913578</v>
      </c>
      <c r="R497">
        <v>228</v>
      </c>
      <c r="S497" s="6">
        <f>R497/R601</f>
        <v>0.4351145038167939</v>
      </c>
      <c r="T497" s="6">
        <f>228/$T$3</f>
        <v>0.40714285714285714</v>
      </c>
      <c r="V497">
        <v>226</v>
      </c>
      <c r="W497" s="6">
        <f>V497/V601</f>
        <v>0.44664031620553357</v>
      </c>
      <c r="X497" s="6">
        <f>226/$X$3</f>
        <v>0.41851851851851851</v>
      </c>
      <c r="Z497">
        <v>61</v>
      </c>
      <c r="AA497" s="6">
        <f>Z497/Z601</f>
        <v>0.57547169811320753</v>
      </c>
      <c r="AB497" s="9">
        <f>61/$AB$3</f>
        <v>0.53982300884955747</v>
      </c>
      <c r="AC497" s="7"/>
      <c r="AD497">
        <v>91</v>
      </c>
      <c r="AE497" s="6">
        <f>AD497/AD601</f>
        <v>0.48404255319148937</v>
      </c>
      <c r="AF497" s="6">
        <f>91/$AF$3</f>
        <v>0.45959595959595961</v>
      </c>
      <c r="AH497">
        <v>95</v>
      </c>
      <c r="AI497" s="6">
        <f>AH497/AH601</f>
        <v>0.40948275862068967</v>
      </c>
      <c r="AJ497" s="6">
        <f>95/$AJ$3</f>
        <v>0.38461538461538464</v>
      </c>
      <c r="AL497">
        <v>93</v>
      </c>
      <c r="AM497" s="6">
        <f>AL497/AL601</f>
        <v>0.42660550458715596</v>
      </c>
      <c r="AN497" s="6">
        <f>93/$AN$3</f>
        <v>0.40086206896551724</v>
      </c>
      <c r="AP497">
        <v>70</v>
      </c>
      <c r="AQ497" s="6">
        <f>AP497/AP601</f>
        <v>0.41420118343195267</v>
      </c>
      <c r="AR497" s="6">
        <f>70/$AR$3</f>
        <v>0.37634408602150538</v>
      </c>
      <c r="AT497">
        <v>44</v>
      </c>
      <c r="AU497" s="6">
        <f>AT497/AT601</f>
        <v>0.37606837606837606</v>
      </c>
      <c r="AV497" s="6">
        <f>44/$AV$3</f>
        <v>0.35483870967741937</v>
      </c>
      <c r="AX497">
        <v>170</v>
      </c>
      <c r="AY497" s="6">
        <f>AX497/AX601</f>
        <v>0.43037974683544306</v>
      </c>
      <c r="AZ497" s="6">
        <f>170/$AZ$3</f>
        <v>0.39534883720930231</v>
      </c>
      <c r="BB497">
        <v>183</v>
      </c>
      <c r="BC497" s="6">
        <f>BB497/BB601</f>
        <v>0.45185185185185184</v>
      </c>
      <c r="BD497" s="6">
        <f>183/$BD$3</f>
        <v>0.42757009345794394</v>
      </c>
      <c r="BF497">
        <v>101</v>
      </c>
      <c r="BG497" s="6">
        <f>BF497/BF601</f>
        <v>0.43913043478260871</v>
      </c>
      <c r="BH497" s="6">
        <f>101/$BH$3</f>
        <v>0.41735537190082644</v>
      </c>
      <c r="BJ497">
        <v>161</v>
      </c>
      <c r="BK497" s="6">
        <f>BJ497/BJ601</f>
        <v>0.43163538873994639</v>
      </c>
      <c r="BL497" s="6">
        <f>161/$BL$3</f>
        <v>0.39950372208436724</v>
      </c>
      <c r="BN497">
        <v>165</v>
      </c>
      <c r="BO497" s="6">
        <f>BN497/BN601</f>
        <v>0.41984732824427479</v>
      </c>
      <c r="BP497" s="6">
        <f>165/$BP$3</f>
        <v>0.39007092198581561</v>
      </c>
      <c r="BR497">
        <v>128</v>
      </c>
      <c r="BS497" s="6">
        <f>BR497/BR601</f>
        <v>0.48484848484848486</v>
      </c>
      <c r="BT497" s="9">
        <f>128/$BT$3</f>
        <v>0.46715328467153283</v>
      </c>
      <c r="BV497">
        <v>119</v>
      </c>
      <c r="BW497" s="6">
        <f>BV497/BV601</f>
        <v>0.41608391608391609</v>
      </c>
      <c r="BX497" s="6">
        <f>119/$BX$3</f>
        <v>0.39016393442622949</v>
      </c>
      <c r="BZ497">
        <v>86</v>
      </c>
      <c r="CA497" s="6">
        <f>BZ497/BZ601</f>
        <v>0.40758293838862558</v>
      </c>
      <c r="CB497" s="6">
        <f>86/$CB$3</f>
        <v>0.38392857142857145</v>
      </c>
      <c r="CD497">
        <v>99</v>
      </c>
      <c r="CE497" s="6">
        <f>CD497/CD601</f>
        <v>0.44394618834080718</v>
      </c>
      <c r="CF497" s="6">
        <f>99/$CF$3</f>
        <v>0.41078838174273857</v>
      </c>
      <c r="CH497">
        <v>150</v>
      </c>
      <c r="CI497" s="6">
        <f>CH497/CH601</f>
        <v>0.4838709677419355</v>
      </c>
      <c r="CJ497" s="6">
        <f>150/$CJ$3</f>
        <v>0.45454545454545453</v>
      </c>
    </row>
    <row r="498" spans="1:88" x14ac:dyDescent="0.35">
      <c r="A498" s="1" t="s">
        <v>1544</v>
      </c>
      <c r="B498">
        <v>71</v>
      </c>
      <c r="C498" s="6">
        <f>B498/B601</f>
        <v>6.8932038834951456E-2</v>
      </c>
      <c r="D498" s="6">
        <f>71/$D$3</f>
        <v>6.4545454545454545E-2</v>
      </c>
      <c r="F498">
        <v>63</v>
      </c>
      <c r="G498" s="6">
        <f>F498/F601</f>
        <v>7.2580645161290328E-2</v>
      </c>
      <c r="H498" s="6">
        <f>63/$H$3</f>
        <v>6.9154774972557634E-2</v>
      </c>
      <c r="J498">
        <v>38</v>
      </c>
      <c r="K498" s="6">
        <f>J498/J601</f>
        <v>9.0476190476190474E-2</v>
      </c>
      <c r="L498" s="6">
        <f>38/$L$3</f>
        <v>8.755760368663594E-2</v>
      </c>
      <c r="N498">
        <v>4</v>
      </c>
      <c r="O498" s="6">
        <f>N498/N601</f>
        <v>5.1948051948051951E-2</v>
      </c>
      <c r="P498" s="6">
        <f>4/$P$3</f>
        <v>4.9382716049382713E-2</v>
      </c>
      <c r="R498">
        <v>41</v>
      </c>
      <c r="S498" s="6">
        <f>R498/R601</f>
        <v>7.8244274809160311E-2</v>
      </c>
      <c r="T498" s="6">
        <f>41/$T$3</f>
        <v>7.3214285714285718E-2</v>
      </c>
      <c r="V498">
        <v>30</v>
      </c>
      <c r="W498" s="6">
        <f>V498/V601</f>
        <v>5.9288537549407112E-2</v>
      </c>
      <c r="X498" s="6">
        <f>30/$X$3</f>
        <v>5.5555555555555552E-2</v>
      </c>
      <c r="Z498">
        <v>6</v>
      </c>
      <c r="AA498" s="6">
        <f>Z498/Z601</f>
        <v>5.6603773584905662E-2</v>
      </c>
      <c r="AB498" s="6">
        <f>6/$AB$3</f>
        <v>5.3097345132743362E-2</v>
      </c>
      <c r="AD498">
        <v>8</v>
      </c>
      <c r="AE498" s="6">
        <f>AD498/AD601</f>
        <v>4.2553191489361701E-2</v>
      </c>
      <c r="AF498" s="6">
        <f>8/$AF$3</f>
        <v>4.0404040404040407E-2</v>
      </c>
      <c r="AH498">
        <v>23</v>
      </c>
      <c r="AI498" s="6">
        <f>AH498/AH601</f>
        <v>9.9137931034482762E-2</v>
      </c>
      <c r="AJ498" s="6">
        <f>23/$AJ$3</f>
        <v>9.3117408906882596E-2</v>
      </c>
      <c r="AL498">
        <v>14</v>
      </c>
      <c r="AM498" s="6">
        <f>AL498/AL601</f>
        <v>6.4220183486238536E-2</v>
      </c>
      <c r="AN498" s="6">
        <f>14/$AN$3</f>
        <v>6.0344827586206899E-2</v>
      </c>
      <c r="AP498">
        <v>12</v>
      </c>
      <c r="AQ498" s="6">
        <f>AP498/AP601</f>
        <v>7.1005917159763315E-2</v>
      </c>
      <c r="AR498" s="6">
        <f>12/$AR$3</f>
        <v>6.4516129032258063E-2</v>
      </c>
      <c r="AT498">
        <v>8</v>
      </c>
      <c r="AU498" s="6">
        <f>AT498/AT601</f>
        <v>6.8376068376068383E-2</v>
      </c>
      <c r="AV498" s="6">
        <f>8/$AV$3</f>
        <v>6.4516129032258063E-2</v>
      </c>
      <c r="AX498">
        <v>33</v>
      </c>
      <c r="AY498" s="6">
        <f>AX498/AX601</f>
        <v>8.3544303797468356E-2</v>
      </c>
      <c r="AZ498" s="6">
        <f>33/$AZ$3</f>
        <v>7.6744186046511634E-2</v>
      </c>
      <c r="BB498">
        <v>28</v>
      </c>
      <c r="BC498" s="6">
        <f>BB498/BB601</f>
        <v>6.9135802469135796E-2</v>
      </c>
      <c r="BD498" s="6">
        <f>28/$BD$3</f>
        <v>6.5420560747663545E-2</v>
      </c>
      <c r="BF498">
        <v>10</v>
      </c>
      <c r="BG498" s="6">
        <f>BF498/BF601</f>
        <v>4.3478260869565216E-2</v>
      </c>
      <c r="BH498" s="6">
        <f>10/$BH$3</f>
        <v>4.1322314049586778E-2</v>
      </c>
      <c r="BJ498">
        <v>32</v>
      </c>
      <c r="BK498" s="6">
        <f>BJ498/BJ601</f>
        <v>8.5790884718498661E-2</v>
      </c>
      <c r="BL498" s="6">
        <f>32/$BL$3</f>
        <v>7.9404466501240695E-2</v>
      </c>
      <c r="BN498">
        <v>24</v>
      </c>
      <c r="BO498" s="6">
        <f>BN498/BN601</f>
        <v>6.1068702290076333E-2</v>
      </c>
      <c r="BP498" s="6">
        <f>24/$BP$3</f>
        <v>5.6737588652482268E-2</v>
      </c>
      <c r="BR498">
        <v>15</v>
      </c>
      <c r="BS498" s="6">
        <f>BR498/BR601</f>
        <v>5.6818181818181816E-2</v>
      </c>
      <c r="BT498" s="6">
        <f>15/$BT$3</f>
        <v>5.4744525547445258E-2</v>
      </c>
      <c r="BV498">
        <v>21</v>
      </c>
      <c r="BW498" s="6">
        <f>BV498/BV601</f>
        <v>7.3426573426573424E-2</v>
      </c>
      <c r="BX498" s="6">
        <f>21/$BX$3</f>
        <v>6.8852459016393447E-2</v>
      </c>
      <c r="BZ498">
        <v>15</v>
      </c>
      <c r="CA498" s="6">
        <f>BZ498/BZ601</f>
        <v>7.1090047393364927E-2</v>
      </c>
      <c r="CB498" s="6">
        <f>15/$CB$3</f>
        <v>6.6964285714285712E-2</v>
      </c>
      <c r="CD498">
        <v>16</v>
      </c>
      <c r="CE498" s="6">
        <f>CD498/CD601</f>
        <v>7.1748878923766815E-2</v>
      </c>
      <c r="CF498" s="6">
        <f>16/$CF$3</f>
        <v>6.6390041493775934E-2</v>
      </c>
      <c r="CH498">
        <v>19</v>
      </c>
      <c r="CI498" s="6">
        <f>CH498/CH601</f>
        <v>6.1290322580645158E-2</v>
      </c>
      <c r="CJ498" s="6">
        <f>19/$CJ$3</f>
        <v>5.7575757575757579E-2</v>
      </c>
    </row>
    <row r="499" spans="1:88" x14ac:dyDescent="0.35">
      <c r="A499" s="1" t="s">
        <v>1545</v>
      </c>
      <c r="B499">
        <v>36</v>
      </c>
      <c r="C499" s="6">
        <f>B499/B601</f>
        <v>3.4951456310679613E-2</v>
      </c>
      <c r="D499" s="6">
        <f>36/$D$3</f>
        <v>3.272727272727273E-2</v>
      </c>
      <c r="F499">
        <v>33</v>
      </c>
      <c r="G499" s="6">
        <f>F499/F601</f>
        <v>3.8018433179723504E-2</v>
      </c>
      <c r="H499" s="6">
        <f>33/$H$3</f>
        <v>3.6223929747530186E-2</v>
      </c>
      <c r="J499">
        <v>18</v>
      </c>
      <c r="K499" s="6">
        <f>J499/J601</f>
        <v>4.2857142857142858E-2</v>
      </c>
      <c r="L499" s="6">
        <f>18/$L$3</f>
        <v>4.1474654377880185E-2</v>
      </c>
      <c r="N499">
        <v>2</v>
      </c>
      <c r="O499" s="6">
        <f>N499/N601</f>
        <v>2.5974025974025976E-2</v>
      </c>
      <c r="P499" s="6">
        <f>2/$P$3</f>
        <v>2.4691358024691357E-2</v>
      </c>
      <c r="R499">
        <v>19</v>
      </c>
      <c r="S499" s="6">
        <f>R499/R601</f>
        <v>3.6259541984732822E-2</v>
      </c>
      <c r="T499" s="6">
        <f>19/$T$3</f>
        <v>3.3928571428571426E-2</v>
      </c>
      <c r="V499">
        <v>17</v>
      </c>
      <c r="W499" s="6">
        <f>V499/V601</f>
        <v>3.3596837944664032E-2</v>
      </c>
      <c r="X499" s="6">
        <f>17/$X$3</f>
        <v>3.1481481481481478E-2</v>
      </c>
      <c r="Z499">
        <v>10</v>
      </c>
      <c r="AA499" s="6">
        <f>Z499/Z601</f>
        <v>9.4339622641509441E-2</v>
      </c>
      <c r="AB499" s="6">
        <f>10/$AB$3</f>
        <v>8.8495575221238937E-2</v>
      </c>
      <c r="AD499">
        <v>6</v>
      </c>
      <c r="AE499" s="6">
        <f>AD499/AD601</f>
        <v>3.1914893617021274E-2</v>
      </c>
      <c r="AF499" s="6">
        <f>6/$AF$3</f>
        <v>3.0303030303030304E-2</v>
      </c>
      <c r="AH499">
        <v>5</v>
      </c>
      <c r="AI499" s="6">
        <f>AH499/AH601</f>
        <v>2.1551724137931036E-2</v>
      </c>
      <c r="AJ499" s="6">
        <f>5/$AJ$3</f>
        <v>2.0242914979757085E-2</v>
      </c>
      <c r="AL499">
        <v>5</v>
      </c>
      <c r="AM499" s="6">
        <f>AL499/AL601</f>
        <v>2.2935779816513763E-2</v>
      </c>
      <c r="AN499" s="6">
        <f>5/$AN$3</f>
        <v>2.1551724137931036E-2</v>
      </c>
      <c r="AP499">
        <v>6</v>
      </c>
      <c r="AQ499" s="6">
        <f>AP499/AP601</f>
        <v>3.5502958579881658E-2</v>
      </c>
      <c r="AR499" s="6">
        <f>6/$AR$3</f>
        <v>3.2258064516129031E-2</v>
      </c>
      <c r="AT499">
        <v>4</v>
      </c>
      <c r="AU499" s="6">
        <f>AT499/AT601</f>
        <v>3.4188034188034191E-2</v>
      </c>
      <c r="AV499" s="6">
        <f>4/$AV$3</f>
        <v>3.2258064516129031E-2</v>
      </c>
      <c r="AX499">
        <v>17</v>
      </c>
      <c r="AY499" s="6">
        <f>AX499/AX601</f>
        <v>4.3037974683544304E-2</v>
      </c>
      <c r="AZ499" s="6">
        <f>17/$AZ$3</f>
        <v>3.9534883720930232E-2</v>
      </c>
      <c r="BB499">
        <v>11</v>
      </c>
      <c r="BC499" s="6">
        <f>BB499/BB601</f>
        <v>2.7160493827160494E-2</v>
      </c>
      <c r="BD499" s="6">
        <f>11/$BD$3</f>
        <v>2.5700934579439252E-2</v>
      </c>
      <c r="BF499">
        <v>8</v>
      </c>
      <c r="BG499" s="6">
        <f>BF499/BF601</f>
        <v>3.4782608695652174E-2</v>
      </c>
      <c r="BH499" s="6">
        <f>8/$BH$3</f>
        <v>3.3057851239669422E-2</v>
      </c>
      <c r="BJ499">
        <v>14</v>
      </c>
      <c r="BK499" s="6">
        <f>BJ499/BJ601</f>
        <v>3.7533512064343161E-2</v>
      </c>
      <c r="BL499" s="6">
        <f>14/$BL$3</f>
        <v>3.4739454094292806E-2</v>
      </c>
      <c r="BN499">
        <v>19</v>
      </c>
      <c r="BO499" s="6">
        <f>BN499/BN601</f>
        <v>4.8346055979643768E-2</v>
      </c>
      <c r="BP499" s="6">
        <f>19/$BP$3</f>
        <v>4.4917257683215132E-2</v>
      </c>
      <c r="BR499">
        <v>3</v>
      </c>
      <c r="BS499" s="6">
        <f>BR499/BR601</f>
        <v>1.1363636363636364E-2</v>
      </c>
      <c r="BT499" s="6">
        <f>3/$BT$3</f>
        <v>1.0948905109489052E-2</v>
      </c>
      <c r="BV499">
        <v>7</v>
      </c>
      <c r="BW499" s="6">
        <f>BV499/BV601</f>
        <v>2.4475524475524476E-2</v>
      </c>
      <c r="BX499" s="6">
        <f>7/$BX$3</f>
        <v>2.2950819672131147E-2</v>
      </c>
      <c r="BZ499">
        <v>14</v>
      </c>
      <c r="CA499" s="6">
        <f>BZ499/BZ601</f>
        <v>6.6350710900473939E-2</v>
      </c>
      <c r="CB499" s="6">
        <f>14/$CB$3</f>
        <v>6.25E-2</v>
      </c>
      <c r="CD499">
        <v>8</v>
      </c>
      <c r="CE499" s="6">
        <f>CD499/CD601</f>
        <v>3.5874439461883408E-2</v>
      </c>
      <c r="CF499" s="6">
        <f>8/$CF$3</f>
        <v>3.3195020746887967E-2</v>
      </c>
      <c r="CH499">
        <v>7</v>
      </c>
      <c r="CI499" s="6">
        <f>CH499/CH601</f>
        <v>2.2580645161290321E-2</v>
      </c>
      <c r="CJ499" s="6">
        <f>7/$CJ$3</f>
        <v>2.1212121212121213E-2</v>
      </c>
    </row>
    <row r="500" spans="1:88" x14ac:dyDescent="0.35">
      <c r="A500" s="1" t="s">
        <v>1546</v>
      </c>
      <c r="B500">
        <v>137</v>
      </c>
      <c r="C500" s="6">
        <f>B500/B601</f>
        <v>0.13300970873786408</v>
      </c>
      <c r="D500" s="6">
        <f>137/$D$3</f>
        <v>0.12454545454545454</v>
      </c>
      <c r="F500">
        <v>118</v>
      </c>
      <c r="G500" s="6">
        <f>F500/F601</f>
        <v>0.13594470046082949</v>
      </c>
      <c r="H500" s="6">
        <f>118/$H$3</f>
        <v>0.12952799121844127</v>
      </c>
      <c r="J500">
        <v>58</v>
      </c>
      <c r="K500" s="6">
        <f>J500/J601</f>
        <v>0.1380952380952381</v>
      </c>
      <c r="L500" s="6">
        <f>58/$L$3</f>
        <v>0.13364055299539171</v>
      </c>
      <c r="N500">
        <v>15</v>
      </c>
      <c r="O500" s="6">
        <f>N500/N601</f>
        <v>0.19480519480519481</v>
      </c>
      <c r="P500" s="6">
        <f>15/$P$3</f>
        <v>0.18518518518518517</v>
      </c>
      <c r="R500">
        <v>66</v>
      </c>
      <c r="S500" s="6">
        <f>R500/R601</f>
        <v>0.12595419847328243</v>
      </c>
      <c r="T500" s="6">
        <f>66/$T$3</f>
        <v>0.11785714285714285</v>
      </c>
      <c r="V500">
        <v>71</v>
      </c>
      <c r="W500" s="6">
        <f>V500/V601</f>
        <v>0.14031620553359683</v>
      </c>
      <c r="X500" s="6">
        <f>71/$X$3</f>
        <v>0.13148148148148148</v>
      </c>
      <c r="Z500">
        <v>8</v>
      </c>
      <c r="AA500" s="6">
        <f>Z500/Z601</f>
        <v>7.5471698113207544E-2</v>
      </c>
      <c r="AB500" s="6">
        <f>8/$AB$3</f>
        <v>7.0796460176991149E-2</v>
      </c>
      <c r="AD500">
        <v>28</v>
      </c>
      <c r="AE500" s="6">
        <f>AD500/AD601</f>
        <v>0.14893617021276595</v>
      </c>
      <c r="AF500" s="6">
        <f>28/$AF$3</f>
        <v>0.14141414141414141</v>
      </c>
      <c r="AH500">
        <v>25</v>
      </c>
      <c r="AI500" s="6">
        <f>AH500/AH601</f>
        <v>0.10775862068965517</v>
      </c>
      <c r="AJ500" s="6">
        <f>25/$AJ$3</f>
        <v>0.10121457489878542</v>
      </c>
      <c r="AL500">
        <v>39</v>
      </c>
      <c r="AM500" s="6">
        <f>AL500/AL601</f>
        <v>0.17889908256880735</v>
      </c>
      <c r="AN500" s="6">
        <f>39/$AN$3</f>
        <v>0.16810344827586207</v>
      </c>
      <c r="AP500">
        <v>23</v>
      </c>
      <c r="AQ500" s="6">
        <f>AP500/AP601</f>
        <v>0.13609467455621302</v>
      </c>
      <c r="AR500" s="6">
        <f>23/$AR$3</f>
        <v>0.12365591397849462</v>
      </c>
      <c r="AT500">
        <v>14</v>
      </c>
      <c r="AU500" s="6">
        <f>AT500/AT601</f>
        <v>0.11965811965811966</v>
      </c>
      <c r="AV500" s="6">
        <f>14/$AV$3</f>
        <v>0.11290322580645161</v>
      </c>
      <c r="AX500">
        <v>57</v>
      </c>
      <c r="AY500" s="6">
        <f>AX500/AX601</f>
        <v>0.14430379746835442</v>
      </c>
      <c r="AZ500" s="6">
        <f>57/$AZ$3</f>
        <v>0.13255813953488371</v>
      </c>
      <c r="BB500">
        <v>58</v>
      </c>
      <c r="BC500" s="6">
        <f>BB500/BB601</f>
        <v>0.14320987654320988</v>
      </c>
      <c r="BD500" s="6">
        <f>58/$BD$3</f>
        <v>0.13551401869158877</v>
      </c>
      <c r="BF500">
        <v>22</v>
      </c>
      <c r="BG500" s="6">
        <f>BF500/BF601</f>
        <v>9.5652173913043481E-2</v>
      </c>
      <c r="BH500" s="6">
        <f>22/$BH$3</f>
        <v>9.0909090909090912E-2</v>
      </c>
      <c r="BJ500">
        <v>47</v>
      </c>
      <c r="BK500" s="6">
        <f>BJ500/BJ601</f>
        <v>0.12600536193029491</v>
      </c>
      <c r="BL500" s="6">
        <f>47/$BL$3</f>
        <v>0.11662531017369727</v>
      </c>
      <c r="BN500">
        <v>54</v>
      </c>
      <c r="BO500" s="6">
        <f>BN500/BN601</f>
        <v>0.13740458015267176</v>
      </c>
      <c r="BP500" s="6">
        <f>54/$BP$3</f>
        <v>0.1276595744680851</v>
      </c>
      <c r="BR500">
        <v>36</v>
      </c>
      <c r="BS500" s="6">
        <f>BR500/BR601</f>
        <v>0.13636363636363635</v>
      </c>
      <c r="BT500" s="6">
        <f>36/$BT$3</f>
        <v>0.13138686131386862</v>
      </c>
      <c r="BV500">
        <v>47</v>
      </c>
      <c r="BW500" s="6">
        <f>BV500/BV601</f>
        <v>0.16433566433566432</v>
      </c>
      <c r="BX500" s="6">
        <f>47/$BX$3</f>
        <v>0.1540983606557377</v>
      </c>
      <c r="BZ500">
        <v>28</v>
      </c>
      <c r="CA500" s="6">
        <f>BZ500/BZ601</f>
        <v>0.13270142180094788</v>
      </c>
      <c r="CB500" s="6">
        <f>28/$CB$3</f>
        <v>0.125</v>
      </c>
      <c r="CD500">
        <v>32</v>
      </c>
      <c r="CE500" s="6">
        <f>CD500/CD601</f>
        <v>0.14349775784753363</v>
      </c>
      <c r="CF500" s="6">
        <f>32/$CF$3</f>
        <v>0.13278008298755187</v>
      </c>
      <c r="CH500">
        <v>30</v>
      </c>
      <c r="CI500" s="6">
        <f>CH500/CH601</f>
        <v>9.6774193548387094E-2</v>
      </c>
      <c r="CJ500" s="6">
        <f>30/$CJ$3</f>
        <v>9.0909090909090912E-2</v>
      </c>
    </row>
    <row r="501" spans="1:88" x14ac:dyDescent="0.35">
      <c r="A501" s="1" t="s">
        <v>1547</v>
      </c>
      <c r="B501">
        <v>79</v>
      </c>
      <c r="C501" s="6">
        <f>B501/B601</f>
        <v>7.6699029126213597E-2</v>
      </c>
      <c r="D501" s="6">
        <f>79/$D$3</f>
        <v>7.1818181818181823E-2</v>
      </c>
      <c r="F501">
        <v>72</v>
      </c>
      <c r="G501" s="6">
        <f>F501/F601</f>
        <v>8.294930875576037E-2</v>
      </c>
      <c r="H501" s="6">
        <f>72/$H$3</f>
        <v>7.9034028540065859E-2</v>
      </c>
      <c r="J501">
        <v>52</v>
      </c>
      <c r="K501" s="6">
        <f>J501/J601</f>
        <v>0.12380952380952381</v>
      </c>
      <c r="L501" s="6">
        <f>52/$L$3</f>
        <v>0.11981566820276497</v>
      </c>
      <c r="N501">
        <v>3</v>
      </c>
      <c r="O501" s="6">
        <f>N501/N601</f>
        <v>3.896103896103896E-2</v>
      </c>
      <c r="P501" s="6">
        <f>3/$P$3</f>
        <v>3.7037037037037035E-2</v>
      </c>
      <c r="R501">
        <v>53</v>
      </c>
      <c r="S501" s="6">
        <f>R501/R601</f>
        <v>0.10114503816793893</v>
      </c>
      <c r="T501" s="6">
        <f>53/$T$3</f>
        <v>9.464285714285714E-2</v>
      </c>
      <c r="V501">
        <v>26</v>
      </c>
      <c r="W501" s="6">
        <f>V501/V601</f>
        <v>5.1383399209486168E-2</v>
      </c>
      <c r="X501" s="6">
        <f>26/$X$3</f>
        <v>4.8148148148148148E-2</v>
      </c>
      <c r="Z501">
        <v>7</v>
      </c>
      <c r="AA501" s="6">
        <f>Z501/Z601</f>
        <v>6.6037735849056603E-2</v>
      </c>
      <c r="AB501" s="6">
        <f>7/$AB$3</f>
        <v>6.1946902654867256E-2</v>
      </c>
      <c r="AD501">
        <v>13</v>
      </c>
      <c r="AE501" s="6">
        <f>AD501/AD601</f>
        <v>6.9148936170212769E-2</v>
      </c>
      <c r="AF501" s="6">
        <f>13/$AF$3</f>
        <v>6.5656565656565663E-2</v>
      </c>
      <c r="AH501">
        <v>28</v>
      </c>
      <c r="AI501" s="6">
        <f>AH501/AH601</f>
        <v>0.1206896551724138</v>
      </c>
      <c r="AJ501" s="6">
        <f>28/$AJ$3</f>
        <v>0.11336032388663968</v>
      </c>
      <c r="AK501" s="7"/>
      <c r="AL501">
        <v>16</v>
      </c>
      <c r="AM501" s="6">
        <f>AL501/AL601</f>
        <v>7.3394495412844041E-2</v>
      </c>
      <c r="AN501" s="6">
        <f>16/$AN$3</f>
        <v>6.8965517241379309E-2</v>
      </c>
      <c r="AP501">
        <v>5</v>
      </c>
      <c r="AQ501" s="6">
        <f>AP501/AP601</f>
        <v>2.9585798816568046E-2</v>
      </c>
      <c r="AR501" s="6">
        <f>5/$AR$3</f>
        <v>2.6881720430107527E-2</v>
      </c>
      <c r="AT501">
        <v>10</v>
      </c>
      <c r="AU501" s="6">
        <f>AT501/AT601</f>
        <v>8.5470085470085472E-2</v>
      </c>
      <c r="AV501" s="6">
        <f>10/$AV$3</f>
        <v>8.0645161290322578E-2</v>
      </c>
      <c r="AX501">
        <v>31</v>
      </c>
      <c r="AY501" s="6">
        <f>AX501/AX601</f>
        <v>7.848101265822785E-2</v>
      </c>
      <c r="AZ501" s="6">
        <f>31/$AZ$3</f>
        <v>7.2093023255813959E-2</v>
      </c>
      <c r="BB501">
        <v>32</v>
      </c>
      <c r="BC501" s="6">
        <f>BB501/BB601</f>
        <v>7.9012345679012344E-2</v>
      </c>
      <c r="BD501" s="6">
        <f>32/$BD$3</f>
        <v>7.476635514018691E-2</v>
      </c>
      <c r="BF501">
        <v>16</v>
      </c>
      <c r="BG501" s="6">
        <f>BF501/BF601</f>
        <v>6.9565217391304349E-2</v>
      </c>
      <c r="BH501" s="6">
        <f>16/$BH$3</f>
        <v>6.6115702479338845E-2</v>
      </c>
      <c r="BJ501">
        <v>28</v>
      </c>
      <c r="BK501" s="6">
        <f>BJ501/BJ601</f>
        <v>7.5067024128686322E-2</v>
      </c>
      <c r="BL501" s="6">
        <f>28/$BL$3</f>
        <v>6.9478908188585611E-2</v>
      </c>
      <c r="BN501">
        <v>33</v>
      </c>
      <c r="BO501" s="6">
        <f>BN501/BN601</f>
        <v>8.3969465648854963E-2</v>
      </c>
      <c r="BP501" s="6">
        <f>33/$BP$3</f>
        <v>7.8014184397163122E-2</v>
      </c>
      <c r="BR501">
        <v>18</v>
      </c>
      <c r="BS501" s="6">
        <f>BR501/BR601</f>
        <v>6.8181818181818177E-2</v>
      </c>
      <c r="BT501" s="6">
        <f>18/$BT$3</f>
        <v>6.569343065693431E-2</v>
      </c>
      <c r="BV501">
        <v>23</v>
      </c>
      <c r="BW501" s="6">
        <f>BV501/BV601</f>
        <v>8.0419580419580416E-2</v>
      </c>
      <c r="BX501" s="6">
        <f>23/$BX$3</f>
        <v>7.5409836065573776E-2</v>
      </c>
      <c r="BZ501">
        <v>18</v>
      </c>
      <c r="CA501" s="6">
        <f>BZ501/BZ601</f>
        <v>8.5308056872037921E-2</v>
      </c>
      <c r="CB501" s="6">
        <f>18/$CB$3</f>
        <v>8.0357142857142863E-2</v>
      </c>
      <c r="CD501">
        <v>17</v>
      </c>
      <c r="CE501" s="6">
        <f>CD501/CD601</f>
        <v>7.623318385650224E-2</v>
      </c>
      <c r="CF501" s="6">
        <f>17/$CF$3</f>
        <v>7.0539419087136929E-2</v>
      </c>
      <c r="CH501">
        <v>21</v>
      </c>
      <c r="CI501" s="6">
        <f>CH501/CH601</f>
        <v>6.7741935483870974E-2</v>
      </c>
      <c r="CJ501" s="6">
        <f>21/$CJ$3</f>
        <v>6.363636363636363E-2</v>
      </c>
    </row>
    <row r="502" spans="1:88" x14ac:dyDescent="0.35">
      <c r="A502" s="1" t="s">
        <v>1548</v>
      </c>
      <c r="B502">
        <v>253</v>
      </c>
      <c r="C502" s="6">
        <f>B502/B601</f>
        <v>0.24563106796116504</v>
      </c>
      <c r="D502" s="6">
        <f>253/$D$3</f>
        <v>0.23</v>
      </c>
      <c r="F502">
        <v>184</v>
      </c>
      <c r="G502" s="6">
        <f>F502/F601</f>
        <v>0.2119815668202765</v>
      </c>
      <c r="H502" s="6">
        <f>184/$H$3</f>
        <v>0.20197585071350166</v>
      </c>
      <c r="J502">
        <v>66</v>
      </c>
      <c r="K502" s="6">
        <f>J502/J601</f>
        <v>0.15714285714285714</v>
      </c>
      <c r="L502" s="8">
        <f>66/$L$3</f>
        <v>0.15207373271889402</v>
      </c>
      <c r="N502">
        <v>15</v>
      </c>
      <c r="O502" s="6">
        <f>N502/N601</f>
        <v>0.19480519480519481</v>
      </c>
      <c r="P502" s="6">
        <f>15/$P$3</f>
        <v>0.18518518518518517</v>
      </c>
      <c r="R502">
        <v>117</v>
      </c>
      <c r="S502" s="6">
        <f>R502/R601</f>
        <v>0.22328244274809161</v>
      </c>
      <c r="T502" s="6">
        <f>117/$T$3</f>
        <v>0.20892857142857144</v>
      </c>
      <c r="V502">
        <v>136</v>
      </c>
      <c r="W502" s="6">
        <f>V502/V601</f>
        <v>0.26877470355731226</v>
      </c>
      <c r="X502" s="6">
        <f>136/$X$3</f>
        <v>0.25185185185185183</v>
      </c>
      <c r="Z502">
        <v>14</v>
      </c>
      <c r="AA502" s="6">
        <f>Z502/Z601</f>
        <v>0.13207547169811321</v>
      </c>
      <c r="AB502" s="8">
        <f>14/$AB$3</f>
        <v>0.12389380530973451</v>
      </c>
      <c r="AD502">
        <v>42</v>
      </c>
      <c r="AE502" s="6">
        <f>AD502/AD601</f>
        <v>0.22340425531914893</v>
      </c>
      <c r="AF502" s="6">
        <f>42/$AF$3</f>
        <v>0.21212121212121213</v>
      </c>
      <c r="AH502">
        <v>56</v>
      </c>
      <c r="AI502" s="6">
        <f>AH502/AH601</f>
        <v>0.2413793103448276</v>
      </c>
      <c r="AJ502" s="6">
        <f>56/$AJ$3</f>
        <v>0.22672064777327935</v>
      </c>
      <c r="AL502">
        <v>51</v>
      </c>
      <c r="AM502" s="6">
        <f>AL502/AL601</f>
        <v>0.23394495412844038</v>
      </c>
      <c r="AN502" s="6">
        <f>51/$AN$3</f>
        <v>0.21982758620689655</v>
      </c>
      <c r="AP502">
        <v>53</v>
      </c>
      <c r="AQ502" s="6">
        <f>AP502/AP601</f>
        <v>0.31360946745562129</v>
      </c>
      <c r="AR502" s="6">
        <f>53/$AR$3</f>
        <v>0.28494623655913981</v>
      </c>
      <c r="AS502" s="7"/>
      <c r="AT502">
        <v>37</v>
      </c>
      <c r="AU502" s="6">
        <f>AT502/AT601</f>
        <v>0.31623931623931623</v>
      </c>
      <c r="AV502" s="6">
        <f>37/$AV$3</f>
        <v>0.29838709677419356</v>
      </c>
      <c r="AW502" s="7"/>
      <c r="AX502">
        <v>87</v>
      </c>
      <c r="AY502" s="6">
        <f>AX502/AX601</f>
        <v>0.22025316455696203</v>
      </c>
      <c r="AZ502" s="6">
        <f>87/$AZ$3</f>
        <v>0.20232558139534884</v>
      </c>
      <c r="BB502">
        <v>93</v>
      </c>
      <c r="BC502" s="6">
        <f>BB502/BB601</f>
        <v>0.22962962962962963</v>
      </c>
      <c r="BD502" s="6">
        <f>93/$BD$3</f>
        <v>0.21728971962616822</v>
      </c>
      <c r="BF502">
        <v>73</v>
      </c>
      <c r="BG502" s="6">
        <f>BF502/BF601</f>
        <v>0.31739130434782609</v>
      </c>
      <c r="BH502" s="9">
        <f>73/$BH$3</f>
        <v>0.30165289256198347</v>
      </c>
      <c r="BI502" s="7" t="s">
        <v>3</v>
      </c>
      <c r="BJ502">
        <v>91</v>
      </c>
      <c r="BK502" s="6">
        <f>BJ502/BJ601</f>
        <v>0.24396782841823056</v>
      </c>
      <c r="BL502" s="6">
        <f>91/$BL$3</f>
        <v>0.22580645161290322</v>
      </c>
      <c r="BN502">
        <v>98</v>
      </c>
      <c r="BO502" s="6">
        <f>BN502/BN601</f>
        <v>0.24936386768447838</v>
      </c>
      <c r="BP502" s="6">
        <f>98/$BP$3</f>
        <v>0.23167848699763594</v>
      </c>
      <c r="BR502">
        <v>64</v>
      </c>
      <c r="BS502" s="6">
        <f>BR502/BR601</f>
        <v>0.24242424242424243</v>
      </c>
      <c r="BT502" s="6">
        <f>64/$BT$3</f>
        <v>0.23357664233576642</v>
      </c>
      <c r="BV502">
        <v>69</v>
      </c>
      <c r="BW502" s="6">
        <f>BV502/BV601</f>
        <v>0.24125874125874125</v>
      </c>
      <c r="BX502" s="6">
        <f>69/$BX$3</f>
        <v>0.2262295081967213</v>
      </c>
      <c r="BZ502">
        <v>50</v>
      </c>
      <c r="CA502" s="6">
        <f>BZ502/BZ601</f>
        <v>0.23696682464454977</v>
      </c>
      <c r="CB502" s="6">
        <f>50/$CB$3</f>
        <v>0.22321428571428573</v>
      </c>
      <c r="CD502">
        <v>51</v>
      </c>
      <c r="CE502" s="6">
        <f>CD502/CD601</f>
        <v>0.22869955156950672</v>
      </c>
      <c r="CF502" s="6">
        <f>51/$CF$3</f>
        <v>0.21161825726141079</v>
      </c>
      <c r="CH502">
        <v>83</v>
      </c>
      <c r="CI502" s="6">
        <f>CH502/CH601</f>
        <v>0.26774193548387099</v>
      </c>
      <c r="CJ502" s="6">
        <f>83/$CJ$3</f>
        <v>0.25151515151515152</v>
      </c>
    </row>
    <row r="504" spans="1:88" x14ac:dyDescent="0.35">
      <c r="A504" s="1" t="s">
        <v>1549</v>
      </c>
      <c r="B504">
        <v>375</v>
      </c>
      <c r="C504" s="6">
        <f>B504/B601</f>
        <v>0.36407766990291263</v>
      </c>
      <c r="D504" s="6">
        <f>375/$D$3</f>
        <v>0.34090909090909088</v>
      </c>
      <c r="F504">
        <v>329</v>
      </c>
      <c r="G504" s="6">
        <f>F504/F601</f>
        <v>0.37903225806451613</v>
      </c>
      <c r="H504" s="6">
        <f>329/$H$3</f>
        <v>0.3611416026344676</v>
      </c>
      <c r="J504">
        <v>178</v>
      </c>
      <c r="K504" s="6">
        <f>J504/J601</f>
        <v>0.4238095238095238</v>
      </c>
      <c r="L504" s="9">
        <f>178/$L$3</f>
        <v>0.41013824884792627</v>
      </c>
      <c r="N504">
        <v>33</v>
      </c>
      <c r="O504" s="6">
        <f>N504/N601</f>
        <v>0.42857142857142855</v>
      </c>
      <c r="P504" s="6">
        <f>33/$P$3</f>
        <v>0.40740740740740738</v>
      </c>
      <c r="R504">
        <v>182</v>
      </c>
      <c r="S504" s="6">
        <f>R504/R601</f>
        <v>0.34732824427480918</v>
      </c>
      <c r="T504" s="6">
        <f>182/$T$3</f>
        <v>0.32500000000000001</v>
      </c>
      <c r="V504">
        <v>193</v>
      </c>
      <c r="W504" s="6">
        <f>V504/V601</f>
        <v>0.38142292490118579</v>
      </c>
      <c r="X504" s="6">
        <f>193/$X$3</f>
        <v>0.3574074074074074</v>
      </c>
      <c r="Z504">
        <v>42</v>
      </c>
      <c r="AA504" s="6">
        <f>Z504/Z601</f>
        <v>0.39622641509433965</v>
      </c>
      <c r="AB504" s="6">
        <f>42/$AB$3</f>
        <v>0.37168141592920356</v>
      </c>
      <c r="AD504">
        <v>72</v>
      </c>
      <c r="AE504" s="6">
        <f>AD504/AD601</f>
        <v>0.38297872340425532</v>
      </c>
      <c r="AF504" s="6">
        <f>72/$AF$3</f>
        <v>0.36363636363636365</v>
      </c>
      <c r="AH504">
        <v>89</v>
      </c>
      <c r="AI504" s="6">
        <f>AH504/AH601</f>
        <v>0.38362068965517243</v>
      </c>
      <c r="AJ504" s="6">
        <f>89/$AJ$3</f>
        <v>0.36032388663967613</v>
      </c>
      <c r="AL504">
        <v>78</v>
      </c>
      <c r="AM504" s="6">
        <f>AL504/AL601</f>
        <v>0.3577981651376147</v>
      </c>
      <c r="AN504" s="6">
        <f>78/$AN$3</f>
        <v>0.33620689655172414</v>
      </c>
      <c r="AP504">
        <v>58</v>
      </c>
      <c r="AQ504" s="6">
        <f>AP504/AP601</f>
        <v>0.34319526627218933</v>
      </c>
      <c r="AR504" s="6">
        <f>58/$AR$3</f>
        <v>0.31182795698924731</v>
      </c>
      <c r="AT504">
        <v>36</v>
      </c>
      <c r="AU504" s="6">
        <f>AT504/AT601</f>
        <v>0.30769230769230771</v>
      </c>
      <c r="AV504" s="6">
        <f>36/$AV$3</f>
        <v>0.29032258064516131</v>
      </c>
      <c r="AX504">
        <v>144</v>
      </c>
      <c r="AY504" s="6">
        <f>AX504/AX601</f>
        <v>0.36455696202531646</v>
      </c>
      <c r="AZ504" s="6">
        <f>144/$AZ$3</f>
        <v>0.33488372093023255</v>
      </c>
      <c r="BB504">
        <v>150</v>
      </c>
      <c r="BC504" s="6">
        <f>BB504/BB601</f>
        <v>0.37037037037037035</v>
      </c>
      <c r="BD504" s="6">
        <f>150/$BD$3</f>
        <v>0.35046728971962615</v>
      </c>
      <c r="BF504">
        <v>81</v>
      </c>
      <c r="BG504" s="6">
        <f>BF504/BF601</f>
        <v>0.35217391304347828</v>
      </c>
      <c r="BH504" s="6">
        <f>81/$BH$3</f>
        <v>0.33471074380165289</v>
      </c>
      <c r="BJ504">
        <v>133</v>
      </c>
      <c r="BK504" s="6">
        <f>BJ504/BJ601</f>
        <v>0.35656836461126007</v>
      </c>
      <c r="BL504" s="6">
        <f>133/$BL$3</f>
        <v>0.33002481389578164</v>
      </c>
      <c r="BN504">
        <v>136</v>
      </c>
      <c r="BO504" s="6">
        <f>BN504/BN601</f>
        <v>0.34605597964376589</v>
      </c>
      <c r="BP504" s="6">
        <f>136/$BP$3</f>
        <v>0.32151300236406621</v>
      </c>
      <c r="BR504">
        <v>106</v>
      </c>
      <c r="BS504" s="6">
        <f>BR504/BR601</f>
        <v>0.40151515151515149</v>
      </c>
      <c r="BT504" s="6">
        <f>106/$BT$3</f>
        <v>0.38686131386861317</v>
      </c>
      <c r="BV504">
        <v>100</v>
      </c>
      <c r="BW504" s="6">
        <f>BV504/BV601</f>
        <v>0.34965034965034963</v>
      </c>
      <c r="BX504" s="6">
        <f>100/$BX$3</f>
        <v>0.32786885245901637</v>
      </c>
      <c r="BZ504">
        <v>73</v>
      </c>
      <c r="CA504" s="6">
        <f>BZ504/BZ601</f>
        <v>0.34597156398104267</v>
      </c>
      <c r="CB504" s="6">
        <f>73/$CB$3</f>
        <v>0.32589285714285715</v>
      </c>
      <c r="CD504">
        <v>82</v>
      </c>
      <c r="CE504" s="6">
        <f>CD504/CD601</f>
        <v>0.36771300448430494</v>
      </c>
      <c r="CF504" s="6">
        <f>82/$CF$3</f>
        <v>0.34024896265560167</v>
      </c>
      <c r="CH504">
        <v>120</v>
      </c>
      <c r="CI504" s="6">
        <f>CH504/CH601</f>
        <v>0.38709677419354838</v>
      </c>
      <c r="CJ504" s="6">
        <f>120/$CJ$3</f>
        <v>0.36363636363636365</v>
      </c>
    </row>
    <row r="505" spans="1:88" x14ac:dyDescent="0.35">
      <c r="A505" s="1" t="s">
        <v>1550</v>
      </c>
      <c r="B505">
        <v>86</v>
      </c>
      <c r="C505" s="6">
        <f>B505/B601</f>
        <v>8.3495145631067955E-2</v>
      </c>
      <c r="D505" s="6">
        <f>86/$D$3</f>
        <v>7.8181818181818186E-2</v>
      </c>
      <c r="F505">
        <v>78</v>
      </c>
      <c r="G505" s="6">
        <f>F505/F601</f>
        <v>8.9861751152073732E-2</v>
      </c>
      <c r="H505" s="6">
        <f>78/$H$3</f>
        <v>8.5620197585071348E-2</v>
      </c>
      <c r="J505">
        <v>43</v>
      </c>
      <c r="K505" s="6">
        <f>J505/J601</f>
        <v>0.10238095238095238</v>
      </c>
      <c r="L505" s="6">
        <f>43/$L$3</f>
        <v>9.9078341013824886E-2</v>
      </c>
      <c r="N505">
        <v>4</v>
      </c>
      <c r="O505" s="6">
        <f>N505/N601</f>
        <v>5.1948051948051951E-2</v>
      </c>
      <c r="P505" s="6">
        <f>4/$P$3</f>
        <v>4.9382716049382713E-2</v>
      </c>
      <c r="R505">
        <v>48</v>
      </c>
      <c r="S505" s="6">
        <f>R505/R601</f>
        <v>9.1603053435114504E-2</v>
      </c>
      <c r="T505" s="6">
        <f>48/$T$3</f>
        <v>8.5714285714285715E-2</v>
      </c>
      <c r="V505">
        <v>38</v>
      </c>
      <c r="W505" s="6">
        <f>V505/V601</f>
        <v>7.5098814229249009E-2</v>
      </c>
      <c r="X505" s="6">
        <f>38/$X$3</f>
        <v>7.0370370370370375E-2</v>
      </c>
      <c r="Z505">
        <v>7</v>
      </c>
      <c r="AA505" s="6">
        <f>Z505/Z601</f>
        <v>6.6037735849056603E-2</v>
      </c>
      <c r="AB505" s="6">
        <f>7/$AB$3</f>
        <v>6.1946902654867256E-2</v>
      </c>
      <c r="AD505">
        <v>9</v>
      </c>
      <c r="AE505" s="6">
        <f>AD505/AD601</f>
        <v>4.7872340425531915E-2</v>
      </c>
      <c r="AF505" s="6">
        <f>9/$AF$3</f>
        <v>4.5454545454545456E-2</v>
      </c>
      <c r="AH505">
        <v>25</v>
      </c>
      <c r="AI505" s="6">
        <f>AH505/AH601</f>
        <v>0.10775862068965517</v>
      </c>
      <c r="AJ505" s="6">
        <f>25/$AJ$3</f>
        <v>0.10121457489878542</v>
      </c>
      <c r="AL505">
        <v>20</v>
      </c>
      <c r="AM505" s="6">
        <f>AL505/AL601</f>
        <v>9.1743119266055051E-2</v>
      </c>
      <c r="AN505" s="6">
        <f>20/$AN$3</f>
        <v>8.6206896551724144E-2</v>
      </c>
      <c r="AP505">
        <v>14</v>
      </c>
      <c r="AQ505" s="6">
        <f>AP505/AP601</f>
        <v>8.2840236686390539E-2</v>
      </c>
      <c r="AR505" s="6">
        <f>14/$AR$3</f>
        <v>7.5268817204301078E-2</v>
      </c>
      <c r="AT505">
        <v>11</v>
      </c>
      <c r="AU505" s="6">
        <f>AT505/AT601</f>
        <v>9.4017094017094016E-2</v>
      </c>
      <c r="AV505" s="6">
        <f>11/$AV$3</f>
        <v>8.8709677419354843E-2</v>
      </c>
      <c r="AX505">
        <v>48</v>
      </c>
      <c r="AY505" s="6">
        <f>AX505/AX601</f>
        <v>0.12151898734177215</v>
      </c>
      <c r="AZ505" s="6">
        <f>48/$AZ$3</f>
        <v>0.11162790697674418</v>
      </c>
      <c r="BB505">
        <v>25</v>
      </c>
      <c r="BC505" s="6">
        <f>BB505/BB601</f>
        <v>6.1728395061728392E-2</v>
      </c>
      <c r="BD505" s="6">
        <f>25/$BD$3</f>
        <v>5.8411214953271028E-2</v>
      </c>
      <c r="BF505">
        <v>13</v>
      </c>
      <c r="BG505" s="6">
        <f>BF505/BF601</f>
        <v>5.6521739130434782E-2</v>
      </c>
      <c r="BH505" s="6">
        <f>13/$BH$3</f>
        <v>5.3719008264462811E-2</v>
      </c>
      <c r="BJ505">
        <v>45</v>
      </c>
      <c r="BK505" s="6">
        <f>BJ505/BJ601</f>
        <v>0.12064343163538874</v>
      </c>
      <c r="BL505" s="6">
        <f>45/$BL$3</f>
        <v>0.11166253101736973</v>
      </c>
      <c r="BN505">
        <v>25</v>
      </c>
      <c r="BO505" s="6">
        <f>BN505/BN601</f>
        <v>6.3613231552162849E-2</v>
      </c>
      <c r="BP505" s="6">
        <f>25/$BP$3</f>
        <v>5.9101654846335699E-2</v>
      </c>
      <c r="BR505">
        <v>16</v>
      </c>
      <c r="BS505" s="6">
        <f>BR505/BR601</f>
        <v>6.0606060606060608E-2</v>
      </c>
      <c r="BT505" s="6">
        <f>16/$BT$3</f>
        <v>5.8394160583941604E-2</v>
      </c>
      <c r="BV505">
        <v>19</v>
      </c>
      <c r="BW505" s="6">
        <f>BV505/BV601</f>
        <v>6.6433566433566432E-2</v>
      </c>
      <c r="BX505" s="6">
        <f>19/$BX$3</f>
        <v>6.2295081967213117E-2</v>
      </c>
      <c r="BZ505">
        <v>20</v>
      </c>
      <c r="CA505" s="6">
        <f>BZ505/BZ601</f>
        <v>9.4786729857819899E-2</v>
      </c>
      <c r="CB505" s="6">
        <f>20/$CB$3</f>
        <v>8.9285714285714288E-2</v>
      </c>
      <c r="CD505">
        <v>21</v>
      </c>
      <c r="CE505" s="6">
        <f>CD505/CD601</f>
        <v>9.417040358744394E-2</v>
      </c>
      <c r="CF505" s="6">
        <f>21/$CF$3</f>
        <v>8.7136929460580909E-2</v>
      </c>
      <c r="CH505">
        <v>26</v>
      </c>
      <c r="CI505" s="6">
        <f>CH505/CH601</f>
        <v>8.387096774193549E-2</v>
      </c>
      <c r="CJ505" s="6">
        <f>26/$CJ$3</f>
        <v>7.8787878787878782E-2</v>
      </c>
    </row>
    <row r="506" spans="1:88" x14ac:dyDescent="0.35">
      <c r="A506" s="1" t="s">
        <v>1551</v>
      </c>
      <c r="B506">
        <v>44</v>
      </c>
      <c r="C506" s="6">
        <f>B506/B601</f>
        <v>4.2718446601941747E-2</v>
      </c>
      <c r="D506" s="6">
        <f>44/$D$3</f>
        <v>0.04</v>
      </c>
      <c r="F506">
        <v>40</v>
      </c>
      <c r="G506" s="6">
        <f>F506/F601</f>
        <v>4.6082949308755762E-2</v>
      </c>
      <c r="H506" s="6">
        <f>40/$H$3</f>
        <v>4.3907793633369926E-2</v>
      </c>
      <c r="J506">
        <v>16</v>
      </c>
      <c r="K506" s="6">
        <f>J506/J601</f>
        <v>3.8095238095238099E-2</v>
      </c>
      <c r="L506" s="6">
        <f>16/$L$3</f>
        <v>3.6866359447004608E-2</v>
      </c>
      <c r="N506">
        <v>4</v>
      </c>
      <c r="O506" s="6">
        <f>N506/N601</f>
        <v>5.1948051948051951E-2</v>
      </c>
      <c r="P506" s="6">
        <f>4/$P$3</f>
        <v>4.9382716049382713E-2</v>
      </c>
      <c r="R506">
        <v>21</v>
      </c>
      <c r="S506" s="6">
        <f>R506/R601</f>
        <v>4.0076335877862593E-2</v>
      </c>
      <c r="T506" s="6">
        <f>21/$T$3</f>
        <v>3.7499999999999999E-2</v>
      </c>
      <c r="V506">
        <v>23</v>
      </c>
      <c r="W506" s="6">
        <f>V506/V601</f>
        <v>4.5454545454545456E-2</v>
      </c>
      <c r="X506" s="6">
        <f>23/$X$3</f>
        <v>4.2592592592592592E-2</v>
      </c>
      <c r="Z506">
        <v>8</v>
      </c>
      <c r="AA506" s="6">
        <f>Z506/Z601</f>
        <v>7.5471698113207544E-2</v>
      </c>
      <c r="AB506" s="6">
        <f>8/$AB$3</f>
        <v>7.0796460176991149E-2</v>
      </c>
      <c r="AD506">
        <v>8</v>
      </c>
      <c r="AE506" s="6">
        <f>AD506/AD601</f>
        <v>4.2553191489361701E-2</v>
      </c>
      <c r="AF506" s="6">
        <f>8/$AF$3</f>
        <v>4.0404040404040407E-2</v>
      </c>
      <c r="AH506">
        <v>5</v>
      </c>
      <c r="AI506" s="6">
        <f>AH506/AH601</f>
        <v>2.1551724137931036E-2</v>
      </c>
      <c r="AJ506" s="6">
        <f>5/$AJ$3</f>
        <v>2.0242914979757085E-2</v>
      </c>
      <c r="AL506">
        <v>13</v>
      </c>
      <c r="AM506" s="6">
        <f>AL506/AL601</f>
        <v>5.9633027522935783E-2</v>
      </c>
      <c r="AN506" s="6">
        <f>13/$AN$3</f>
        <v>5.6034482758620691E-2</v>
      </c>
      <c r="AP506">
        <v>7</v>
      </c>
      <c r="AQ506" s="6">
        <f>AP506/AP601</f>
        <v>4.142011834319527E-2</v>
      </c>
      <c r="AR506" s="6">
        <f>7/$AR$3</f>
        <v>3.7634408602150539E-2</v>
      </c>
      <c r="AT506">
        <v>3</v>
      </c>
      <c r="AU506" s="6">
        <f>AT506/AT601</f>
        <v>2.564102564102564E-2</v>
      </c>
      <c r="AV506" s="6">
        <f>3/$AV$3</f>
        <v>2.4193548387096774E-2</v>
      </c>
      <c r="AX506">
        <v>19</v>
      </c>
      <c r="AY506" s="6">
        <f>AX506/AX601</f>
        <v>4.810126582278481E-2</v>
      </c>
      <c r="AZ506" s="6">
        <f>19/$AZ$3</f>
        <v>4.4186046511627906E-2</v>
      </c>
      <c r="BB506">
        <v>12</v>
      </c>
      <c r="BC506" s="6">
        <f>BB506/BB601</f>
        <v>2.9629629629629631E-2</v>
      </c>
      <c r="BD506" s="6">
        <f>12/$BD$3</f>
        <v>2.8037383177570093E-2</v>
      </c>
      <c r="BF506">
        <v>13</v>
      </c>
      <c r="BG506" s="6">
        <f>BF506/BF601</f>
        <v>5.6521739130434782E-2</v>
      </c>
      <c r="BH506" s="6">
        <f>13/$BH$3</f>
        <v>5.3719008264462811E-2</v>
      </c>
      <c r="BJ506">
        <v>16</v>
      </c>
      <c r="BK506" s="6">
        <f>BJ506/BJ601</f>
        <v>4.2895442359249331E-2</v>
      </c>
      <c r="BL506" s="6">
        <f>16/$BL$3</f>
        <v>3.9702233250620347E-2</v>
      </c>
      <c r="BN506">
        <v>19</v>
      </c>
      <c r="BO506" s="6">
        <f>BN506/BN601</f>
        <v>4.8346055979643768E-2</v>
      </c>
      <c r="BP506" s="6">
        <f>19/$BP$3</f>
        <v>4.4917257683215132E-2</v>
      </c>
      <c r="BR506">
        <v>9</v>
      </c>
      <c r="BS506" s="6">
        <f>BR506/BR601</f>
        <v>3.4090909090909088E-2</v>
      </c>
      <c r="BT506" s="6">
        <f>9/$BT$3</f>
        <v>3.2846715328467155E-2</v>
      </c>
      <c r="BV506">
        <v>9</v>
      </c>
      <c r="BW506" s="6">
        <f>BV506/BV601</f>
        <v>3.1468531468531472E-2</v>
      </c>
      <c r="BX506" s="6">
        <f>9/$BX$3</f>
        <v>2.9508196721311476E-2</v>
      </c>
      <c r="BZ506">
        <v>6</v>
      </c>
      <c r="CA506" s="6">
        <f>BZ506/BZ601</f>
        <v>2.843601895734597E-2</v>
      </c>
      <c r="CB506" s="6">
        <f>6/$CB$3</f>
        <v>2.6785714285714284E-2</v>
      </c>
      <c r="CD506">
        <v>14</v>
      </c>
      <c r="CE506" s="6">
        <f>CD506/CD601</f>
        <v>6.2780269058295965E-2</v>
      </c>
      <c r="CF506" s="6">
        <f>14/$CF$3</f>
        <v>5.8091286307053944E-2</v>
      </c>
      <c r="CH506">
        <v>15</v>
      </c>
      <c r="CI506" s="6">
        <f>CH506/CH601</f>
        <v>4.8387096774193547E-2</v>
      </c>
      <c r="CJ506" s="6">
        <f>15/$CJ$3</f>
        <v>4.5454545454545456E-2</v>
      </c>
    </row>
    <row r="507" spans="1:88" x14ac:dyDescent="0.35">
      <c r="A507" s="1" t="s">
        <v>1552</v>
      </c>
      <c r="B507">
        <v>218</v>
      </c>
      <c r="C507" s="6">
        <f>B507/B601</f>
        <v>0.21165048543689322</v>
      </c>
      <c r="D507" s="6">
        <f>218/$D$3</f>
        <v>0.19818181818181818</v>
      </c>
      <c r="F507">
        <v>191</v>
      </c>
      <c r="G507" s="6">
        <f>F507/F601</f>
        <v>0.22004608294930875</v>
      </c>
      <c r="H507" s="6">
        <f>191/$H$3</f>
        <v>0.20965971459934138</v>
      </c>
      <c r="J507">
        <v>72</v>
      </c>
      <c r="K507" s="6">
        <f>J507/J601</f>
        <v>0.17142857142857143</v>
      </c>
      <c r="L507" s="6">
        <f>72/$L$3</f>
        <v>0.16589861751152074</v>
      </c>
      <c r="N507">
        <v>20</v>
      </c>
      <c r="O507" s="6">
        <f>N507/N601</f>
        <v>0.25974025974025972</v>
      </c>
      <c r="P507" s="6">
        <f>20/$P$3</f>
        <v>0.24691358024691357</v>
      </c>
      <c r="R507">
        <v>105</v>
      </c>
      <c r="S507" s="6">
        <f>R507/R601</f>
        <v>0.20038167938931298</v>
      </c>
      <c r="T507" s="6">
        <f>105/$T$3</f>
        <v>0.1875</v>
      </c>
      <c r="V507">
        <v>113</v>
      </c>
      <c r="W507" s="6">
        <f>V507/V601</f>
        <v>0.22332015810276679</v>
      </c>
      <c r="X507" s="6">
        <f>113/$X$3</f>
        <v>0.20925925925925926</v>
      </c>
      <c r="Z507">
        <v>15</v>
      </c>
      <c r="AA507" s="6">
        <f>Z507/Z601</f>
        <v>0.14150943396226415</v>
      </c>
      <c r="AB507" s="6">
        <f>15/$AB$3</f>
        <v>0.13274336283185842</v>
      </c>
      <c r="AD507">
        <v>50</v>
      </c>
      <c r="AE507" s="6">
        <f>AD507/AD601</f>
        <v>0.26595744680851063</v>
      </c>
      <c r="AF507" s="9">
        <f>50/$AF$3</f>
        <v>0.25252525252525254</v>
      </c>
      <c r="AG507" s="7"/>
      <c r="AH507">
        <v>34</v>
      </c>
      <c r="AI507" s="6">
        <f>AH507/AH601</f>
        <v>0.14655172413793102</v>
      </c>
      <c r="AJ507" s="8">
        <f>34/$AJ$3</f>
        <v>0.13765182186234817</v>
      </c>
      <c r="AL507">
        <v>54</v>
      </c>
      <c r="AM507" s="6">
        <f>AL507/AL601</f>
        <v>0.24770642201834864</v>
      </c>
      <c r="AN507" s="6">
        <f>54/$AN$3</f>
        <v>0.23275862068965517</v>
      </c>
      <c r="AP507">
        <v>34</v>
      </c>
      <c r="AQ507" s="6">
        <f>AP507/AP601</f>
        <v>0.20118343195266272</v>
      </c>
      <c r="AR507" s="6">
        <f>34/$AR$3</f>
        <v>0.18279569892473119</v>
      </c>
      <c r="AT507">
        <v>31</v>
      </c>
      <c r="AU507" s="6">
        <f>AT507/AT601</f>
        <v>0.26495726495726496</v>
      </c>
      <c r="AV507" s="6">
        <f>31/$AV$3</f>
        <v>0.25</v>
      </c>
      <c r="AX507">
        <v>79</v>
      </c>
      <c r="AY507" s="6">
        <f>AX507/AX601</f>
        <v>0.2</v>
      </c>
      <c r="AZ507" s="6">
        <f>79/$AZ$3</f>
        <v>0.18372093023255814</v>
      </c>
      <c r="BB507">
        <v>95</v>
      </c>
      <c r="BC507" s="6">
        <f>BB507/BB601</f>
        <v>0.23456790123456789</v>
      </c>
      <c r="BD507" s="6">
        <f>95/$BD$3</f>
        <v>0.2219626168224299</v>
      </c>
      <c r="BF507">
        <v>44</v>
      </c>
      <c r="BG507" s="6">
        <f>BF507/BF601</f>
        <v>0.19130434782608696</v>
      </c>
      <c r="BH507" s="6">
        <f>44/$BH$3</f>
        <v>0.18181818181818182</v>
      </c>
      <c r="BJ507">
        <v>71</v>
      </c>
      <c r="BK507" s="6">
        <f>BJ507/BJ601</f>
        <v>0.19034852546916889</v>
      </c>
      <c r="BL507" s="6">
        <f>71/$BL$3</f>
        <v>0.17617866004962779</v>
      </c>
      <c r="BN507">
        <v>95</v>
      </c>
      <c r="BO507" s="6">
        <f>BN507/BN601</f>
        <v>0.24173027989821882</v>
      </c>
      <c r="BP507" s="6">
        <f>95/$BP$3</f>
        <v>0.22458628841607564</v>
      </c>
      <c r="BR507">
        <v>52</v>
      </c>
      <c r="BS507" s="6">
        <f>BR507/BR601</f>
        <v>0.19696969696969696</v>
      </c>
      <c r="BT507" s="6">
        <f>52/$BT$3</f>
        <v>0.18978102189781021</v>
      </c>
      <c r="BV507">
        <v>66</v>
      </c>
      <c r="BW507" s="6">
        <f>BV507/BV601</f>
        <v>0.23076923076923078</v>
      </c>
      <c r="BX507" s="6">
        <f>66/$BX$3</f>
        <v>0.21639344262295082</v>
      </c>
      <c r="BZ507">
        <v>49</v>
      </c>
      <c r="CA507" s="6">
        <f>BZ507/BZ601</f>
        <v>0.23222748815165878</v>
      </c>
      <c r="CB507" s="6">
        <f>49/$CB$3</f>
        <v>0.21875</v>
      </c>
      <c r="CD507">
        <v>42</v>
      </c>
      <c r="CE507" s="6">
        <f>CD507/CD601</f>
        <v>0.18834080717488788</v>
      </c>
      <c r="CF507" s="6">
        <f>42/$CF$3</f>
        <v>0.17427385892116182</v>
      </c>
      <c r="CH507">
        <v>61</v>
      </c>
      <c r="CI507" s="6">
        <f>CH507/CH601</f>
        <v>0.1967741935483871</v>
      </c>
      <c r="CJ507" s="6">
        <f>61/$CJ$3</f>
        <v>0.18484848484848485</v>
      </c>
    </row>
    <row r="508" spans="1:88" x14ac:dyDescent="0.35">
      <c r="A508" s="1" t="s">
        <v>1553</v>
      </c>
      <c r="B508">
        <v>66</v>
      </c>
      <c r="C508" s="6">
        <f>B508/B601</f>
        <v>6.4077669902912623E-2</v>
      </c>
      <c r="D508" s="6">
        <f>66/$D$3</f>
        <v>0.06</v>
      </c>
      <c r="F508">
        <v>62</v>
      </c>
      <c r="G508" s="6">
        <f>F508/F601</f>
        <v>7.1428571428571425E-2</v>
      </c>
      <c r="H508" s="6">
        <f>62/$H$3</f>
        <v>6.8057080131723374E-2</v>
      </c>
      <c r="J508">
        <v>45</v>
      </c>
      <c r="K508" s="6">
        <f>J508/J601</f>
        <v>0.10714285714285714</v>
      </c>
      <c r="L508" s="6">
        <f>45/$L$3</f>
        <v>0.10368663594470046</v>
      </c>
      <c r="N508">
        <v>3</v>
      </c>
      <c r="O508" s="6">
        <f>N508/N601</f>
        <v>3.896103896103896E-2</v>
      </c>
      <c r="P508" s="6">
        <f>3/$P$3</f>
        <v>3.7037037037037035E-2</v>
      </c>
      <c r="R508">
        <v>39</v>
      </c>
      <c r="S508" s="6">
        <f>R508/R601</f>
        <v>7.4427480916030533E-2</v>
      </c>
      <c r="T508" s="6">
        <f>39/$T$3</f>
        <v>6.9642857142857145E-2</v>
      </c>
      <c r="V508">
        <v>27</v>
      </c>
      <c r="W508" s="6">
        <f>V508/V601</f>
        <v>5.33596837944664E-2</v>
      </c>
      <c r="X508" s="6">
        <f>27/$X$3</f>
        <v>0.05</v>
      </c>
      <c r="Z508">
        <v>11</v>
      </c>
      <c r="AA508" s="6">
        <f>Z508/Z601</f>
        <v>0.10377358490566038</v>
      </c>
      <c r="AB508" s="6">
        <f>11/$AB$3</f>
        <v>9.7345132743362831E-2</v>
      </c>
      <c r="AD508">
        <v>13</v>
      </c>
      <c r="AE508" s="6">
        <f>AD508/AD601</f>
        <v>6.9148936170212769E-2</v>
      </c>
      <c r="AF508" s="6">
        <f>13/$AF$3</f>
        <v>6.5656565656565663E-2</v>
      </c>
      <c r="AH508">
        <v>22</v>
      </c>
      <c r="AI508" s="6">
        <f>AH508/AH601</f>
        <v>9.4827586206896547E-2</v>
      </c>
      <c r="AJ508" s="6">
        <f>22/$AJ$3</f>
        <v>8.9068825910931168E-2</v>
      </c>
      <c r="AL508">
        <v>10</v>
      </c>
      <c r="AM508" s="6">
        <f>AL508/AL601</f>
        <v>4.5871559633027525E-2</v>
      </c>
      <c r="AN508" s="6">
        <f>10/$AN$3</f>
        <v>4.3103448275862072E-2</v>
      </c>
      <c r="AP508">
        <v>6</v>
      </c>
      <c r="AQ508" s="6">
        <f>AP508/AP601</f>
        <v>3.5502958579881658E-2</v>
      </c>
      <c r="AR508" s="6">
        <f>6/$AR$3</f>
        <v>3.2258064516129031E-2</v>
      </c>
      <c r="AT508">
        <v>4</v>
      </c>
      <c r="AU508" s="6">
        <f>AT508/AT601</f>
        <v>3.4188034188034191E-2</v>
      </c>
      <c r="AV508" s="6">
        <f>4/$AV$3</f>
        <v>3.2258064516129031E-2</v>
      </c>
      <c r="AX508">
        <v>23</v>
      </c>
      <c r="AY508" s="6">
        <f>AX508/AX601</f>
        <v>5.8227848101265821E-2</v>
      </c>
      <c r="AZ508" s="6">
        <f>23/$AZ$3</f>
        <v>5.3488372093023255E-2</v>
      </c>
      <c r="BB508">
        <v>28</v>
      </c>
      <c r="BC508" s="6">
        <f>BB508/BB601</f>
        <v>6.9135802469135796E-2</v>
      </c>
      <c r="BD508" s="6">
        <f>28/$BD$3</f>
        <v>6.5420560747663545E-2</v>
      </c>
      <c r="BF508">
        <v>15</v>
      </c>
      <c r="BG508" s="6">
        <f>BF508/BF601</f>
        <v>6.5217391304347824E-2</v>
      </c>
      <c r="BH508" s="6">
        <f>15/$BH$3</f>
        <v>6.1983471074380167E-2</v>
      </c>
      <c r="BJ508">
        <v>23</v>
      </c>
      <c r="BK508" s="6">
        <f>BJ508/BJ601</f>
        <v>6.1662198391420911E-2</v>
      </c>
      <c r="BL508" s="6">
        <f>23/$BL$3</f>
        <v>5.7071960297766747E-2</v>
      </c>
      <c r="BN508">
        <v>25</v>
      </c>
      <c r="BO508" s="6">
        <f>BN508/BN601</f>
        <v>6.3613231552162849E-2</v>
      </c>
      <c r="BP508" s="6">
        <f>25/$BP$3</f>
        <v>5.9101654846335699E-2</v>
      </c>
      <c r="BR508">
        <v>18</v>
      </c>
      <c r="BS508" s="6">
        <f>BR508/BR601</f>
        <v>6.8181818181818177E-2</v>
      </c>
      <c r="BT508" s="6">
        <f>18/$BT$3</f>
        <v>6.569343065693431E-2</v>
      </c>
      <c r="BV508">
        <v>18</v>
      </c>
      <c r="BW508" s="6">
        <f>BV508/BV601</f>
        <v>6.2937062937062943E-2</v>
      </c>
      <c r="BX508" s="6">
        <f>18/$BX$3</f>
        <v>5.9016393442622953E-2</v>
      </c>
      <c r="BZ508">
        <v>18</v>
      </c>
      <c r="CA508" s="6">
        <f>BZ508/BZ601</f>
        <v>8.5308056872037921E-2</v>
      </c>
      <c r="CB508" s="6">
        <f>18/$CB$3</f>
        <v>8.0357142857142863E-2</v>
      </c>
      <c r="CD508">
        <v>16</v>
      </c>
      <c r="CE508" s="6">
        <f>CD508/CD601</f>
        <v>7.1748878923766815E-2</v>
      </c>
      <c r="CF508" s="6">
        <f>16/$CF$3</f>
        <v>6.6390041493775934E-2</v>
      </c>
      <c r="CH508">
        <v>14</v>
      </c>
      <c r="CI508" s="6">
        <f>CH508/CH601</f>
        <v>4.5161290322580643E-2</v>
      </c>
      <c r="CJ508" s="6">
        <f>14/$CJ$3</f>
        <v>4.2424242424242427E-2</v>
      </c>
    </row>
    <row r="509" spans="1:88" x14ac:dyDescent="0.35">
      <c r="A509" s="1" t="s">
        <v>1554</v>
      </c>
      <c r="B509">
        <v>241</v>
      </c>
      <c r="C509" s="6">
        <f>B509/B601</f>
        <v>0.23398058252427184</v>
      </c>
      <c r="D509" s="6">
        <f>241/$D$3</f>
        <v>0.21909090909090909</v>
      </c>
      <c r="F509">
        <v>168</v>
      </c>
      <c r="G509" s="6">
        <f>F509/F601</f>
        <v>0.19354838709677419</v>
      </c>
      <c r="H509" s="6">
        <f>168/$H$3</f>
        <v>0.18441273326015367</v>
      </c>
      <c r="J509">
        <v>66</v>
      </c>
      <c r="K509" s="6">
        <f>J509/J601</f>
        <v>0.15714285714285714</v>
      </c>
      <c r="L509" s="8">
        <f>66/$L$3</f>
        <v>0.15207373271889402</v>
      </c>
      <c r="N509">
        <v>13</v>
      </c>
      <c r="O509" s="6">
        <f>N509/N601</f>
        <v>0.16883116883116883</v>
      </c>
      <c r="P509" s="6">
        <f>13/$P$3</f>
        <v>0.16049382716049382</v>
      </c>
      <c r="R509">
        <v>129</v>
      </c>
      <c r="S509" s="6">
        <f>R509/R601</f>
        <v>0.24618320610687022</v>
      </c>
      <c r="T509" s="6">
        <f>129/$T$3</f>
        <v>0.23035714285714284</v>
      </c>
      <c r="V509">
        <v>112</v>
      </c>
      <c r="W509" s="6">
        <f>V509/V601</f>
        <v>0.22134387351778656</v>
      </c>
      <c r="X509" s="6">
        <f>112/$X$3</f>
        <v>0.2074074074074074</v>
      </c>
      <c r="Z509">
        <v>23</v>
      </c>
      <c r="AA509" s="6">
        <f>Z509/Z601</f>
        <v>0.21698113207547171</v>
      </c>
      <c r="AB509" s="6">
        <f>23/$AB$3</f>
        <v>0.20353982300884957</v>
      </c>
      <c r="AD509">
        <v>36</v>
      </c>
      <c r="AE509" s="6">
        <f>AD509/AD601</f>
        <v>0.19148936170212766</v>
      </c>
      <c r="AF509" s="6">
        <f>36/$AF$3</f>
        <v>0.18181818181818182</v>
      </c>
      <c r="AH509">
        <v>57</v>
      </c>
      <c r="AI509" s="6">
        <f>AH509/AH601</f>
        <v>0.24568965517241378</v>
      </c>
      <c r="AJ509" s="6">
        <f>57/$AJ$3</f>
        <v>0.23076923076923078</v>
      </c>
      <c r="AL509">
        <v>43</v>
      </c>
      <c r="AM509" s="6">
        <f>AL509/AL601</f>
        <v>0.19724770642201836</v>
      </c>
      <c r="AN509" s="6">
        <f>43/$AN$3</f>
        <v>0.18534482758620691</v>
      </c>
      <c r="AP509">
        <v>50</v>
      </c>
      <c r="AQ509" s="6">
        <f>AP509/AP601</f>
        <v>0.29585798816568049</v>
      </c>
      <c r="AR509" s="6">
        <f>50/$AR$3</f>
        <v>0.26881720430107525</v>
      </c>
      <c r="AT509">
        <v>32</v>
      </c>
      <c r="AU509" s="6">
        <f>AT509/AT601</f>
        <v>0.27350427350427353</v>
      </c>
      <c r="AV509" s="6">
        <f>32/$AV$3</f>
        <v>0.25806451612903225</v>
      </c>
      <c r="AX509">
        <v>82</v>
      </c>
      <c r="AY509" s="6">
        <f>AX509/AX601</f>
        <v>0.20759493670886076</v>
      </c>
      <c r="AZ509" s="6">
        <f>82/$AZ$3</f>
        <v>0.19069767441860466</v>
      </c>
      <c r="BB509">
        <v>95</v>
      </c>
      <c r="BC509" s="6">
        <f>BB509/BB601</f>
        <v>0.23456790123456789</v>
      </c>
      <c r="BD509" s="6">
        <f>95/$BD$3</f>
        <v>0.2219626168224299</v>
      </c>
      <c r="BF509">
        <v>64</v>
      </c>
      <c r="BG509" s="6">
        <f>BF509/BF601</f>
        <v>0.27826086956521739</v>
      </c>
      <c r="BH509" s="6">
        <f>64/$BH$3</f>
        <v>0.26446280991735538</v>
      </c>
      <c r="BJ509">
        <v>85</v>
      </c>
      <c r="BK509" s="6">
        <f>BJ509/BJ601</f>
        <v>0.22788203753351208</v>
      </c>
      <c r="BL509" s="6">
        <f>85/$BL$3</f>
        <v>0.21091811414392059</v>
      </c>
      <c r="BN509">
        <v>93</v>
      </c>
      <c r="BO509" s="6">
        <f>BN509/BN601</f>
        <v>0.23664122137404581</v>
      </c>
      <c r="BP509" s="6">
        <f>93/$BP$3</f>
        <v>0.21985815602836881</v>
      </c>
      <c r="BR509">
        <v>63</v>
      </c>
      <c r="BS509" s="6">
        <f>BR509/BR601</f>
        <v>0.23863636363636365</v>
      </c>
      <c r="BT509" s="6">
        <f>63/$BT$3</f>
        <v>0.22992700729927007</v>
      </c>
      <c r="BV509">
        <v>74</v>
      </c>
      <c r="BW509" s="6">
        <f>BV509/BV601</f>
        <v>0.25874125874125875</v>
      </c>
      <c r="BX509" s="6">
        <f>74/$BX$3</f>
        <v>0.24262295081967214</v>
      </c>
      <c r="BZ509">
        <v>45</v>
      </c>
      <c r="CA509" s="6">
        <f>BZ509/BZ601</f>
        <v>0.2132701421800948</v>
      </c>
      <c r="CB509" s="6">
        <f>45/$CB$3</f>
        <v>0.20089285714285715</v>
      </c>
      <c r="CD509">
        <v>48</v>
      </c>
      <c r="CE509" s="6">
        <f>CD509/CD601</f>
        <v>0.21524663677130046</v>
      </c>
      <c r="CF509" s="6">
        <f>48/$CF$3</f>
        <v>0.19917012448132779</v>
      </c>
      <c r="CH509">
        <v>74</v>
      </c>
      <c r="CI509" s="6">
        <f>CH509/CH601</f>
        <v>0.23870967741935484</v>
      </c>
      <c r="CJ509" s="6">
        <f>74/$CJ$3</f>
        <v>0.22424242424242424</v>
      </c>
    </row>
    <row r="511" spans="1:88" x14ac:dyDescent="0.35">
      <c r="A511" s="1" t="s">
        <v>1555</v>
      </c>
      <c r="B511">
        <v>367</v>
      </c>
      <c r="C511" s="6">
        <f>B511/B601</f>
        <v>0.35631067961165047</v>
      </c>
      <c r="D511" s="6">
        <f>367/$D$3</f>
        <v>0.33363636363636362</v>
      </c>
      <c r="F511">
        <v>314</v>
      </c>
      <c r="G511" s="6">
        <f>F511/F601</f>
        <v>0.36175115207373271</v>
      </c>
      <c r="H511" s="6">
        <f>314/$H$3</f>
        <v>0.34467618002195388</v>
      </c>
      <c r="J511">
        <v>150</v>
      </c>
      <c r="K511" s="6">
        <f>J511/J601</f>
        <v>0.35714285714285715</v>
      </c>
      <c r="L511" s="6">
        <f>150/$L$3</f>
        <v>0.34562211981566821</v>
      </c>
      <c r="N511">
        <v>34</v>
      </c>
      <c r="O511" s="6">
        <f>N511/N601</f>
        <v>0.44155844155844154</v>
      </c>
      <c r="P511" s="6">
        <f>34/$P$3</f>
        <v>0.41975308641975306</v>
      </c>
      <c r="R511">
        <v>186</v>
      </c>
      <c r="S511" s="6">
        <f>R511/R601</f>
        <v>0.35496183206106868</v>
      </c>
      <c r="T511" s="6">
        <f>186/$T$3</f>
        <v>0.33214285714285713</v>
      </c>
      <c r="V511">
        <v>181</v>
      </c>
      <c r="W511" s="6">
        <f>V511/V601</f>
        <v>0.35770750988142291</v>
      </c>
      <c r="X511" s="6">
        <f>181/$X$3</f>
        <v>0.3351851851851852</v>
      </c>
      <c r="Z511">
        <v>44</v>
      </c>
      <c r="AA511" s="6">
        <f>Z511/Z601</f>
        <v>0.41509433962264153</v>
      </c>
      <c r="AB511" s="6">
        <f>44/$AB$3</f>
        <v>0.38938053097345132</v>
      </c>
      <c r="AD511">
        <v>67</v>
      </c>
      <c r="AE511" s="6">
        <f>AD511/AD601</f>
        <v>0.35638297872340424</v>
      </c>
      <c r="AF511" s="6">
        <f>67/$AF$3</f>
        <v>0.3383838383838384</v>
      </c>
      <c r="AH511">
        <v>78</v>
      </c>
      <c r="AI511" s="6">
        <f>AH511/AH601</f>
        <v>0.33620689655172414</v>
      </c>
      <c r="AJ511" s="6">
        <f>78/$AJ$3</f>
        <v>0.31578947368421051</v>
      </c>
      <c r="AL511">
        <v>84</v>
      </c>
      <c r="AM511" s="6">
        <f>AL511/AL601</f>
        <v>0.38532110091743121</v>
      </c>
      <c r="AN511" s="6">
        <f>84/$AN$3</f>
        <v>0.36206896551724138</v>
      </c>
      <c r="AP511">
        <v>55</v>
      </c>
      <c r="AQ511" s="6">
        <f>AP511/AP601</f>
        <v>0.32544378698224852</v>
      </c>
      <c r="AR511" s="6">
        <f>55/$AR$3</f>
        <v>0.29569892473118281</v>
      </c>
      <c r="AT511">
        <v>39</v>
      </c>
      <c r="AU511" s="6">
        <f>AT511/AT601</f>
        <v>0.33333333333333331</v>
      </c>
      <c r="AV511" s="6">
        <f>39/$AV$3</f>
        <v>0.31451612903225806</v>
      </c>
      <c r="AX511">
        <v>130</v>
      </c>
      <c r="AY511" s="6">
        <f>AX511/AX601</f>
        <v>0.32911392405063289</v>
      </c>
      <c r="AZ511" s="6">
        <f>130/$AZ$3</f>
        <v>0.30232558139534882</v>
      </c>
      <c r="BB511">
        <v>152</v>
      </c>
      <c r="BC511" s="6">
        <f>BB511/BB601</f>
        <v>0.37530864197530867</v>
      </c>
      <c r="BD511" s="6">
        <f>152/$BD$3</f>
        <v>0.35514018691588783</v>
      </c>
      <c r="BF511">
        <v>85</v>
      </c>
      <c r="BG511" s="6">
        <f>BF511/BF601</f>
        <v>0.36956521739130432</v>
      </c>
      <c r="BH511" s="6">
        <f>85/$BH$3</f>
        <v>0.3512396694214876</v>
      </c>
      <c r="BJ511">
        <v>118</v>
      </c>
      <c r="BK511" s="6">
        <f>BJ511/BJ601</f>
        <v>0.3163538873994638</v>
      </c>
      <c r="BL511" s="6">
        <f>118/$BL$3</f>
        <v>0.29280397022332505</v>
      </c>
      <c r="BN511">
        <v>143</v>
      </c>
      <c r="BO511" s="6">
        <f>BN511/BN601</f>
        <v>0.36386768447837148</v>
      </c>
      <c r="BP511" s="6">
        <f>143/$BP$3</f>
        <v>0.33806146572104018</v>
      </c>
      <c r="BR511">
        <v>106</v>
      </c>
      <c r="BS511" s="6">
        <f>BR511/BR601</f>
        <v>0.40151515151515149</v>
      </c>
      <c r="BT511" s="9">
        <f>106/$BT$3</f>
        <v>0.38686131386861317</v>
      </c>
      <c r="BV511">
        <v>93</v>
      </c>
      <c r="BW511" s="6">
        <f>BV511/BV601</f>
        <v>0.32517482517482516</v>
      </c>
      <c r="BX511" s="6">
        <f>93/$BX$3</f>
        <v>0.30491803278688523</v>
      </c>
      <c r="BZ511">
        <v>66</v>
      </c>
      <c r="CA511" s="6">
        <f>BZ511/BZ601</f>
        <v>0.3127962085308057</v>
      </c>
      <c r="CB511" s="6">
        <f>66/$CB$3</f>
        <v>0.29464285714285715</v>
      </c>
      <c r="CD511">
        <v>79</v>
      </c>
      <c r="CE511" s="6">
        <f>CD511/CD601</f>
        <v>0.35426008968609868</v>
      </c>
      <c r="CF511" s="6">
        <f>79/$CF$3</f>
        <v>0.32780082987551867</v>
      </c>
      <c r="CH511">
        <v>129</v>
      </c>
      <c r="CI511" s="6">
        <f>CH511/CH601</f>
        <v>0.41612903225806452</v>
      </c>
      <c r="CJ511" s="9">
        <f>129/$CJ$3</f>
        <v>0.39090909090909093</v>
      </c>
    </row>
    <row r="512" spans="1:88" x14ac:dyDescent="0.35">
      <c r="A512" s="1" t="s">
        <v>1556</v>
      </c>
      <c r="B512">
        <v>67</v>
      </c>
      <c r="C512" s="6">
        <f>B512/B601</f>
        <v>6.5048543689320393E-2</v>
      </c>
      <c r="D512" s="6">
        <f>67/$D$3</f>
        <v>6.0909090909090906E-2</v>
      </c>
      <c r="F512">
        <v>63</v>
      </c>
      <c r="G512" s="6">
        <f>F512/F601</f>
        <v>7.2580645161290328E-2</v>
      </c>
      <c r="H512" s="6">
        <f>63/$H$3</f>
        <v>6.9154774972557634E-2</v>
      </c>
      <c r="J512">
        <v>37</v>
      </c>
      <c r="K512" s="6">
        <f>J512/J601</f>
        <v>8.8095238095238101E-2</v>
      </c>
      <c r="L512" s="6">
        <f>37/$L$3</f>
        <v>8.5253456221198162E-2</v>
      </c>
      <c r="N512">
        <v>1</v>
      </c>
      <c r="O512" s="6">
        <f>N512/N601</f>
        <v>1.2987012987012988E-2</v>
      </c>
      <c r="P512" s="6">
        <f>1/$P$3</f>
        <v>1.2345679012345678E-2</v>
      </c>
      <c r="R512">
        <v>35</v>
      </c>
      <c r="S512" s="6">
        <f>R512/R601</f>
        <v>6.6793893129770993E-2</v>
      </c>
      <c r="T512" s="6">
        <f>35/$T$3</f>
        <v>6.25E-2</v>
      </c>
      <c r="V512">
        <v>32</v>
      </c>
      <c r="W512" s="6">
        <f>V512/V601</f>
        <v>6.3241106719367585E-2</v>
      </c>
      <c r="X512" s="6">
        <f>32/$X$3</f>
        <v>5.9259259259259262E-2</v>
      </c>
      <c r="Z512">
        <v>5</v>
      </c>
      <c r="AA512" s="6">
        <f>Z512/Z601</f>
        <v>4.716981132075472E-2</v>
      </c>
      <c r="AB512" s="6">
        <f>5/$AB$3</f>
        <v>4.4247787610619468E-2</v>
      </c>
      <c r="AD512">
        <v>8</v>
      </c>
      <c r="AE512" s="6">
        <f>AD512/AD601</f>
        <v>4.2553191489361701E-2</v>
      </c>
      <c r="AF512" s="6">
        <f>8/$AF$3</f>
        <v>4.0404040404040407E-2</v>
      </c>
      <c r="AH512">
        <v>16</v>
      </c>
      <c r="AI512" s="6">
        <f>AH512/AH601</f>
        <v>6.8965517241379309E-2</v>
      </c>
      <c r="AJ512" s="6">
        <f>16/$AJ$3</f>
        <v>6.4777327935222673E-2</v>
      </c>
      <c r="AL512">
        <v>19</v>
      </c>
      <c r="AM512" s="6">
        <f>AL512/AL601</f>
        <v>8.7155963302752298E-2</v>
      </c>
      <c r="AN512" s="6">
        <f>19/$AN$3</f>
        <v>8.1896551724137928E-2</v>
      </c>
      <c r="AP512">
        <v>12</v>
      </c>
      <c r="AQ512" s="6">
        <f>AP512/AP601</f>
        <v>7.1005917159763315E-2</v>
      </c>
      <c r="AR512" s="6">
        <f>12/$AR$3</f>
        <v>6.4516129032258063E-2</v>
      </c>
      <c r="AT512">
        <v>7</v>
      </c>
      <c r="AU512" s="6">
        <f>AT512/AT601</f>
        <v>5.9829059829059832E-2</v>
      </c>
      <c r="AV512" s="6">
        <f>7/$AV$3</f>
        <v>5.6451612903225805E-2</v>
      </c>
      <c r="AX512">
        <v>35</v>
      </c>
      <c r="AY512" s="6">
        <f>AX512/AX601</f>
        <v>8.8607594936708861E-2</v>
      </c>
      <c r="AZ512" s="6">
        <f>35/$AZ$3</f>
        <v>8.1395348837209308E-2</v>
      </c>
      <c r="BB512">
        <v>21</v>
      </c>
      <c r="BC512" s="6">
        <f>BB512/BB601</f>
        <v>5.185185185185185E-2</v>
      </c>
      <c r="BD512" s="6">
        <f>21/$BD$3</f>
        <v>4.9065420560747662E-2</v>
      </c>
      <c r="BF512">
        <v>11</v>
      </c>
      <c r="BG512" s="6">
        <f>BF512/BF601</f>
        <v>4.7826086956521741E-2</v>
      </c>
      <c r="BH512" s="6">
        <f>11/$BH$3</f>
        <v>4.5454545454545456E-2</v>
      </c>
      <c r="BJ512">
        <v>31</v>
      </c>
      <c r="BK512" s="6">
        <f>BJ512/BJ601</f>
        <v>8.3109919571045576E-2</v>
      </c>
      <c r="BL512" s="6">
        <f>31/$BL$3</f>
        <v>7.6923076923076927E-2</v>
      </c>
      <c r="BN512">
        <v>20</v>
      </c>
      <c r="BO512" s="6">
        <f>BN512/BN601</f>
        <v>5.0890585241730277E-2</v>
      </c>
      <c r="BP512" s="6">
        <f>20/$BP$3</f>
        <v>4.7281323877068557E-2</v>
      </c>
      <c r="BR512">
        <v>16</v>
      </c>
      <c r="BS512" s="6">
        <f>BR512/BR601</f>
        <v>6.0606060606060608E-2</v>
      </c>
      <c r="BT512" s="6">
        <f>16/$BT$3</f>
        <v>5.8394160583941604E-2</v>
      </c>
      <c r="BV512">
        <v>17</v>
      </c>
      <c r="BW512" s="6">
        <f>BV512/BV601</f>
        <v>5.944055944055944E-2</v>
      </c>
      <c r="BX512" s="6">
        <f>17/$BX$3</f>
        <v>5.5737704918032788E-2</v>
      </c>
      <c r="BZ512">
        <v>17</v>
      </c>
      <c r="CA512" s="6">
        <f>BZ512/BZ601</f>
        <v>8.0568720379146919E-2</v>
      </c>
      <c r="CB512" s="6">
        <f>17/$CB$3</f>
        <v>7.5892857142857137E-2</v>
      </c>
      <c r="CD512">
        <v>15</v>
      </c>
      <c r="CE512" s="6">
        <f>CD512/CD601</f>
        <v>6.726457399103139E-2</v>
      </c>
      <c r="CF512" s="6">
        <f>15/$CF$3</f>
        <v>6.2240663900414939E-2</v>
      </c>
      <c r="CH512">
        <v>18</v>
      </c>
      <c r="CI512" s="6">
        <f>CH512/CH601</f>
        <v>5.8064516129032261E-2</v>
      </c>
      <c r="CJ512" s="6">
        <f>18/$CJ$3</f>
        <v>5.4545454545454543E-2</v>
      </c>
    </row>
    <row r="513" spans="1:88" x14ac:dyDescent="0.35">
      <c r="A513" s="1" t="s">
        <v>1557</v>
      </c>
      <c r="B513">
        <v>30</v>
      </c>
      <c r="C513" s="6">
        <f>B513/B601</f>
        <v>2.9126213592233011E-2</v>
      </c>
      <c r="D513" s="6">
        <f>30/$D$3</f>
        <v>2.7272727272727271E-2</v>
      </c>
      <c r="F513">
        <v>30</v>
      </c>
      <c r="G513" s="6">
        <f>F513/F601</f>
        <v>3.4562211981566823E-2</v>
      </c>
      <c r="H513" s="6">
        <f>30/$H$3</f>
        <v>3.2930845225027441E-2</v>
      </c>
      <c r="J513">
        <v>13</v>
      </c>
      <c r="K513" s="6">
        <f>J513/J601</f>
        <v>3.0952380952380953E-2</v>
      </c>
      <c r="L513" s="6">
        <f>13/$L$3</f>
        <v>2.9953917050691243E-2</v>
      </c>
      <c r="N513">
        <v>4</v>
      </c>
      <c r="O513" s="6">
        <f>N513/N601</f>
        <v>5.1948051948051951E-2</v>
      </c>
      <c r="P513" s="6">
        <f>4/$P$3</f>
        <v>4.9382716049382713E-2</v>
      </c>
      <c r="R513">
        <v>14</v>
      </c>
      <c r="S513" s="6">
        <f>R513/R601</f>
        <v>2.6717557251908396E-2</v>
      </c>
      <c r="T513" s="6">
        <f>14/$T$3</f>
        <v>2.5000000000000001E-2</v>
      </c>
      <c r="V513">
        <v>16</v>
      </c>
      <c r="W513" s="6">
        <f>V513/V601</f>
        <v>3.1620553359683792E-2</v>
      </c>
      <c r="X513" s="6">
        <f>16/$X$3</f>
        <v>2.9629629629629631E-2</v>
      </c>
      <c r="Z513">
        <v>4</v>
      </c>
      <c r="AA513" s="6">
        <f>Z513/Z601</f>
        <v>3.7735849056603772E-2</v>
      </c>
      <c r="AB513" s="6">
        <f>4/$AB$3</f>
        <v>3.5398230088495575E-2</v>
      </c>
      <c r="AD513">
        <v>6</v>
      </c>
      <c r="AE513" s="6">
        <f>AD513/AD601</f>
        <v>3.1914893617021274E-2</v>
      </c>
      <c r="AF513" s="6">
        <f>6/$AF$3</f>
        <v>3.0303030303030304E-2</v>
      </c>
      <c r="AH513">
        <v>3</v>
      </c>
      <c r="AI513" s="6">
        <f>AH513/AH601</f>
        <v>1.2931034482758621E-2</v>
      </c>
      <c r="AJ513" s="6">
        <f>3/$AJ$3</f>
        <v>1.2145748987854251E-2</v>
      </c>
      <c r="AL513">
        <v>4</v>
      </c>
      <c r="AM513" s="6">
        <f>AL513/AL601</f>
        <v>1.834862385321101E-2</v>
      </c>
      <c r="AN513" s="6">
        <f>4/$AN$3</f>
        <v>1.7241379310344827E-2</v>
      </c>
      <c r="AP513">
        <v>6</v>
      </c>
      <c r="AQ513" s="6">
        <f>AP513/AP601</f>
        <v>3.5502958579881658E-2</v>
      </c>
      <c r="AR513" s="6">
        <f>6/$AR$3</f>
        <v>3.2258064516129031E-2</v>
      </c>
      <c r="AT513">
        <v>7</v>
      </c>
      <c r="AU513" s="6">
        <f>AT513/AT601</f>
        <v>5.9829059829059832E-2</v>
      </c>
      <c r="AV513" s="6">
        <f>7/$AV$3</f>
        <v>5.6451612903225805E-2</v>
      </c>
      <c r="AX513">
        <v>12</v>
      </c>
      <c r="AY513" s="6">
        <f>AX513/AX601</f>
        <v>3.0379746835443037E-2</v>
      </c>
      <c r="AZ513" s="6">
        <f>12/$AZ$3</f>
        <v>2.7906976744186046E-2</v>
      </c>
      <c r="BB513">
        <v>12</v>
      </c>
      <c r="BC513" s="6">
        <f>BB513/BB601</f>
        <v>2.9629629629629631E-2</v>
      </c>
      <c r="BD513" s="6">
        <f>12/$BD$3</f>
        <v>2.8037383177570093E-2</v>
      </c>
      <c r="BF513">
        <v>6</v>
      </c>
      <c r="BG513" s="6">
        <f>BF513/BF601</f>
        <v>2.6086956521739129E-2</v>
      </c>
      <c r="BH513" s="6">
        <f>6/$BH$3</f>
        <v>2.4793388429752067E-2</v>
      </c>
      <c r="BJ513">
        <v>6</v>
      </c>
      <c r="BK513" s="6">
        <f>BJ513/BJ601</f>
        <v>1.6085790884718499E-2</v>
      </c>
      <c r="BL513" s="6">
        <f>6/$BL$3</f>
        <v>1.488833746898263E-2</v>
      </c>
      <c r="BN513">
        <v>19</v>
      </c>
      <c r="BO513" s="6">
        <f>BN513/BN601</f>
        <v>4.8346055979643768E-2</v>
      </c>
      <c r="BP513" s="6">
        <f>19/$BP$3</f>
        <v>4.4917257683215132E-2</v>
      </c>
      <c r="BR513">
        <v>5</v>
      </c>
      <c r="BS513" s="6">
        <f>BR513/BR601</f>
        <v>1.893939393939394E-2</v>
      </c>
      <c r="BT513" s="6">
        <f>5/$BT$3</f>
        <v>1.824817518248175E-2</v>
      </c>
      <c r="BV513">
        <v>9</v>
      </c>
      <c r="BW513" s="6">
        <f>BV513/BV601</f>
        <v>3.1468531468531472E-2</v>
      </c>
      <c r="BX513" s="6">
        <f>9/$BX$3</f>
        <v>2.9508196721311476E-2</v>
      </c>
      <c r="BZ513">
        <v>6</v>
      </c>
      <c r="CA513" s="6">
        <f>BZ513/BZ601</f>
        <v>2.843601895734597E-2</v>
      </c>
      <c r="CB513" s="6">
        <f>6/$CB$3</f>
        <v>2.6785714285714284E-2</v>
      </c>
      <c r="CD513">
        <v>8</v>
      </c>
      <c r="CE513" s="6">
        <f>CD513/CD601</f>
        <v>3.5874439461883408E-2</v>
      </c>
      <c r="CF513" s="6">
        <f>8/$CF$3</f>
        <v>3.3195020746887967E-2</v>
      </c>
      <c r="CH513">
        <v>7</v>
      </c>
      <c r="CI513" s="6">
        <f>CH513/CH601</f>
        <v>2.2580645161290321E-2</v>
      </c>
      <c r="CJ513" s="6">
        <f>7/$CJ$3</f>
        <v>2.1212121212121213E-2</v>
      </c>
    </row>
    <row r="514" spans="1:88" x14ac:dyDescent="0.35">
      <c r="A514" s="1" t="s">
        <v>1558</v>
      </c>
      <c r="B514">
        <v>196</v>
      </c>
      <c r="C514" s="6">
        <f>B514/B601</f>
        <v>0.19029126213592232</v>
      </c>
      <c r="D514" s="6">
        <f>196/$D$3</f>
        <v>0.17818181818181819</v>
      </c>
      <c r="F514">
        <v>174</v>
      </c>
      <c r="G514" s="6">
        <f>F514/F601</f>
        <v>0.20046082949308755</v>
      </c>
      <c r="H514" s="6">
        <f>174/$H$3</f>
        <v>0.19099890230515917</v>
      </c>
      <c r="J514">
        <v>81</v>
      </c>
      <c r="K514" s="6">
        <f>J514/J601</f>
        <v>0.19285714285714287</v>
      </c>
      <c r="L514" s="6">
        <f>81/$L$3</f>
        <v>0.18663594470046083</v>
      </c>
      <c r="N514">
        <v>18</v>
      </c>
      <c r="O514" s="6">
        <f>N514/N601</f>
        <v>0.23376623376623376</v>
      </c>
      <c r="P514" s="6">
        <f>18/$P$3</f>
        <v>0.22222222222222221</v>
      </c>
      <c r="R514">
        <v>98</v>
      </c>
      <c r="S514" s="6">
        <f>R514/R601</f>
        <v>0.18702290076335878</v>
      </c>
      <c r="T514" s="6">
        <f>98/$T$3</f>
        <v>0.17499999999999999</v>
      </c>
      <c r="V514">
        <v>98</v>
      </c>
      <c r="W514" s="6">
        <f>V514/V601</f>
        <v>0.19367588932806323</v>
      </c>
      <c r="X514" s="6">
        <f>98/$X$3</f>
        <v>0.18148148148148149</v>
      </c>
      <c r="Z514">
        <v>19</v>
      </c>
      <c r="AA514" s="6">
        <f>Z514/Z601</f>
        <v>0.17924528301886791</v>
      </c>
      <c r="AB514" s="6">
        <f>19/$AB$3</f>
        <v>0.16814159292035399</v>
      </c>
      <c r="AD514">
        <v>44</v>
      </c>
      <c r="AE514" s="6">
        <f>AD514/AD601</f>
        <v>0.23404255319148937</v>
      </c>
      <c r="AF514" s="6">
        <f>44/$AF$3</f>
        <v>0.22222222222222221</v>
      </c>
      <c r="AH514">
        <v>40</v>
      </c>
      <c r="AI514" s="6">
        <f>AH514/AH601</f>
        <v>0.17241379310344829</v>
      </c>
      <c r="AJ514" s="6">
        <f>40/$AJ$3</f>
        <v>0.16194331983805668</v>
      </c>
      <c r="AL514">
        <v>44</v>
      </c>
      <c r="AM514" s="6">
        <f>AL514/AL601</f>
        <v>0.20183486238532111</v>
      </c>
      <c r="AN514" s="6">
        <f>44/$AN$3</f>
        <v>0.18965517241379309</v>
      </c>
      <c r="AP514">
        <v>31</v>
      </c>
      <c r="AQ514" s="6">
        <f>AP514/AP601</f>
        <v>0.18343195266272189</v>
      </c>
      <c r="AR514" s="6">
        <f>31/$AR$3</f>
        <v>0.16666666666666666</v>
      </c>
      <c r="AT514">
        <v>18</v>
      </c>
      <c r="AU514" s="6">
        <f>AT514/AT601</f>
        <v>0.15384615384615385</v>
      </c>
      <c r="AV514" s="6">
        <f>18/$AV$3</f>
        <v>0.14516129032258066</v>
      </c>
      <c r="AX514">
        <v>80</v>
      </c>
      <c r="AY514" s="6">
        <f>AX514/AX601</f>
        <v>0.20253164556962025</v>
      </c>
      <c r="AZ514" s="6">
        <f>80/$AZ$3</f>
        <v>0.18604651162790697</v>
      </c>
      <c r="BB514">
        <v>77</v>
      </c>
      <c r="BC514" s="6">
        <f>BB514/BB601</f>
        <v>0.19012345679012346</v>
      </c>
      <c r="BD514" s="6">
        <f>77/$BD$3</f>
        <v>0.17990654205607476</v>
      </c>
      <c r="BF514">
        <v>39</v>
      </c>
      <c r="BG514" s="6">
        <f>BF514/BF601</f>
        <v>0.16956521739130434</v>
      </c>
      <c r="BH514" s="6">
        <f>39/$BH$3</f>
        <v>0.16115702479338842</v>
      </c>
      <c r="BJ514">
        <v>73</v>
      </c>
      <c r="BK514" s="6">
        <f>BJ514/BJ601</f>
        <v>0.19571045576407506</v>
      </c>
      <c r="BL514" s="6">
        <f>73/$BL$3</f>
        <v>0.18114143920595532</v>
      </c>
      <c r="BN514">
        <v>75</v>
      </c>
      <c r="BO514" s="6">
        <f>BN514/BN601</f>
        <v>0.19083969465648856</v>
      </c>
      <c r="BP514" s="6">
        <f>75/$BP$3</f>
        <v>0.1773049645390071</v>
      </c>
      <c r="BR514">
        <v>48</v>
      </c>
      <c r="BS514" s="6">
        <f>BR514/BR601</f>
        <v>0.18181818181818182</v>
      </c>
      <c r="BT514" s="6">
        <f>48/$BT$3</f>
        <v>0.17518248175182483</v>
      </c>
      <c r="BV514">
        <v>57</v>
      </c>
      <c r="BW514" s="6">
        <f>BV514/BV601</f>
        <v>0.1993006993006993</v>
      </c>
      <c r="BX514" s="6">
        <f>57/$BX$3</f>
        <v>0.18688524590163935</v>
      </c>
      <c r="BZ514">
        <v>53</v>
      </c>
      <c r="CA514" s="6">
        <f>BZ514/BZ601</f>
        <v>0.25118483412322273</v>
      </c>
      <c r="CB514" s="9">
        <f>53/$CB$3</f>
        <v>0.23660714285714285</v>
      </c>
      <c r="CD514">
        <v>38</v>
      </c>
      <c r="CE514" s="6">
        <f>CD514/CD601</f>
        <v>0.17040358744394618</v>
      </c>
      <c r="CF514" s="6">
        <f>38/$CF$3</f>
        <v>0.15767634854771784</v>
      </c>
      <c r="CH514">
        <v>48</v>
      </c>
      <c r="CI514" s="6">
        <f>CH514/CH601</f>
        <v>0.15483870967741936</v>
      </c>
      <c r="CJ514" s="6">
        <f>48/$CJ$3</f>
        <v>0.14545454545454545</v>
      </c>
    </row>
    <row r="515" spans="1:88" x14ac:dyDescent="0.35">
      <c r="A515" s="1" t="s">
        <v>1559</v>
      </c>
      <c r="B515">
        <v>62</v>
      </c>
      <c r="C515" s="6">
        <f>B515/B601</f>
        <v>6.0194174757281553E-2</v>
      </c>
      <c r="D515" s="6">
        <f>62/$D$3</f>
        <v>5.6363636363636366E-2</v>
      </c>
      <c r="F515">
        <v>57</v>
      </c>
      <c r="G515" s="6">
        <f>F515/F601</f>
        <v>6.5668202764976952E-2</v>
      </c>
      <c r="H515" s="6">
        <f>57/$H$3</f>
        <v>6.2568605927552146E-2</v>
      </c>
      <c r="J515">
        <v>43</v>
      </c>
      <c r="K515" s="6">
        <f>J515/J601</f>
        <v>0.10238095238095238</v>
      </c>
      <c r="L515" s="6">
        <f>43/$L$3</f>
        <v>9.9078341013824886E-2</v>
      </c>
      <c r="N515">
        <v>4</v>
      </c>
      <c r="O515" s="6">
        <f>N515/N601</f>
        <v>5.1948051948051951E-2</v>
      </c>
      <c r="P515" s="6">
        <f>4/$P$3</f>
        <v>4.9382716049382713E-2</v>
      </c>
      <c r="R515">
        <v>34</v>
      </c>
      <c r="S515" s="6">
        <f>R515/R601</f>
        <v>6.4885496183206104E-2</v>
      </c>
      <c r="T515" s="6">
        <f>34/$T$3</f>
        <v>6.0714285714285714E-2</v>
      </c>
      <c r="V515">
        <v>28</v>
      </c>
      <c r="W515" s="6">
        <f>V515/V601</f>
        <v>5.533596837944664E-2</v>
      </c>
      <c r="X515" s="6">
        <f>28/$X$3</f>
        <v>5.185185185185185E-2</v>
      </c>
      <c r="Z515">
        <v>9</v>
      </c>
      <c r="AA515" s="6">
        <f>Z515/Z601</f>
        <v>8.4905660377358486E-2</v>
      </c>
      <c r="AB515" s="6">
        <f>9/$AB$3</f>
        <v>7.9646017699115043E-2</v>
      </c>
      <c r="AD515">
        <v>17</v>
      </c>
      <c r="AE515" s="6">
        <f>AD515/AD601</f>
        <v>9.0425531914893623E-2</v>
      </c>
      <c r="AF515" s="6">
        <f>17/$AF$3</f>
        <v>8.5858585858585856E-2</v>
      </c>
      <c r="AH515">
        <v>17</v>
      </c>
      <c r="AI515" s="6">
        <f>AH515/AH601</f>
        <v>7.3275862068965511E-2</v>
      </c>
      <c r="AJ515" s="6">
        <f>17/$AJ$3</f>
        <v>6.8825910931174086E-2</v>
      </c>
      <c r="AL515">
        <v>6</v>
      </c>
      <c r="AM515" s="6">
        <f>AL515/AL601</f>
        <v>2.7522935779816515E-2</v>
      </c>
      <c r="AN515" s="6">
        <f>6/$AN$3</f>
        <v>2.5862068965517241E-2</v>
      </c>
      <c r="AP515">
        <v>8</v>
      </c>
      <c r="AQ515" s="6">
        <f>AP515/AP601</f>
        <v>4.7337278106508875E-2</v>
      </c>
      <c r="AR515" s="6">
        <f>8/$AR$3</f>
        <v>4.3010752688172046E-2</v>
      </c>
      <c r="AT515">
        <v>5</v>
      </c>
      <c r="AU515" s="6">
        <f>AT515/AT601</f>
        <v>4.2735042735042736E-2</v>
      </c>
      <c r="AV515" s="6">
        <f>5/$AV$3</f>
        <v>4.0322580645161289E-2</v>
      </c>
      <c r="AX515">
        <v>27</v>
      </c>
      <c r="AY515" s="6">
        <f>AX515/AX601</f>
        <v>6.8354430379746839E-2</v>
      </c>
      <c r="AZ515" s="6">
        <f>27/$AZ$3</f>
        <v>6.2790697674418611E-2</v>
      </c>
      <c r="BB515">
        <v>25</v>
      </c>
      <c r="BC515" s="6">
        <f>BB515/BB601</f>
        <v>6.1728395061728392E-2</v>
      </c>
      <c r="BD515" s="6">
        <f>25/$BD$3</f>
        <v>5.8411214953271028E-2</v>
      </c>
      <c r="BF515">
        <v>10</v>
      </c>
      <c r="BG515" s="6">
        <f>BF515/BF601</f>
        <v>4.3478260869565216E-2</v>
      </c>
      <c r="BH515" s="6">
        <f>10/$BH$3</f>
        <v>4.1322314049586778E-2</v>
      </c>
      <c r="BJ515">
        <v>28</v>
      </c>
      <c r="BK515" s="6">
        <f>BJ515/BJ601</f>
        <v>7.5067024128686322E-2</v>
      </c>
      <c r="BL515" s="6">
        <f>28/$BL$3</f>
        <v>6.9478908188585611E-2</v>
      </c>
      <c r="BN515">
        <v>19</v>
      </c>
      <c r="BO515" s="6">
        <f>BN515/BN601</f>
        <v>4.8346055979643768E-2</v>
      </c>
      <c r="BP515" s="6">
        <f>19/$BP$3</f>
        <v>4.4917257683215132E-2</v>
      </c>
      <c r="BR515">
        <v>15</v>
      </c>
      <c r="BS515" s="6">
        <f>BR515/BR601</f>
        <v>5.6818181818181816E-2</v>
      </c>
      <c r="BT515" s="6">
        <f>15/$BT$3</f>
        <v>5.4744525547445258E-2</v>
      </c>
      <c r="BV515">
        <v>17</v>
      </c>
      <c r="BW515" s="6">
        <f>BV515/BV601</f>
        <v>5.944055944055944E-2</v>
      </c>
      <c r="BX515" s="6">
        <f>17/$BX$3</f>
        <v>5.5737704918032788E-2</v>
      </c>
      <c r="BZ515">
        <v>16</v>
      </c>
      <c r="CA515" s="6">
        <f>BZ515/BZ601</f>
        <v>7.582938388625593E-2</v>
      </c>
      <c r="CB515" s="6">
        <f>16/$CB$3</f>
        <v>7.1428571428571425E-2</v>
      </c>
      <c r="CD515">
        <v>12</v>
      </c>
      <c r="CE515" s="6">
        <f>CD515/CD601</f>
        <v>5.3811659192825115E-2</v>
      </c>
      <c r="CF515" s="6">
        <f>12/$CF$3</f>
        <v>4.9792531120331947E-2</v>
      </c>
      <c r="CH515">
        <v>17</v>
      </c>
      <c r="CI515" s="6">
        <f>CH515/CH601</f>
        <v>5.4838709677419356E-2</v>
      </c>
      <c r="CJ515" s="6">
        <f>17/$CJ$3</f>
        <v>5.1515151515151514E-2</v>
      </c>
    </row>
    <row r="516" spans="1:88" x14ac:dyDescent="0.35">
      <c r="A516" s="1" t="s">
        <v>1560</v>
      </c>
      <c r="B516">
        <v>308</v>
      </c>
      <c r="C516" s="6">
        <f>B516/B601</f>
        <v>0.29902912621359223</v>
      </c>
      <c r="D516" s="6">
        <f>308/$D$3</f>
        <v>0.28000000000000003</v>
      </c>
      <c r="F516">
        <v>230</v>
      </c>
      <c r="G516" s="6">
        <f>F516/F601</f>
        <v>0.26497695852534564</v>
      </c>
      <c r="H516" s="6">
        <f>230/$H$3</f>
        <v>0.25246981339187707</v>
      </c>
      <c r="J516">
        <v>96</v>
      </c>
      <c r="K516" s="6">
        <f>J516/J601</f>
        <v>0.22857142857142856</v>
      </c>
      <c r="L516" s="8">
        <f>96/$L$3</f>
        <v>0.22119815668202766</v>
      </c>
      <c r="N516">
        <v>16</v>
      </c>
      <c r="O516" s="6">
        <f>N516/N601</f>
        <v>0.20779220779220781</v>
      </c>
      <c r="P516" s="6">
        <f>16/$P$3</f>
        <v>0.19753086419753085</v>
      </c>
      <c r="R516">
        <v>157</v>
      </c>
      <c r="S516" s="6">
        <f>R516/R601</f>
        <v>0.29961832061068705</v>
      </c>
      <c r="T516" s="6">
        <f>157/$T$3</f>
        <v>0.28035714285714286</v>
      </c>
      <c r="V516">
        <v>151</v>
      </c>
      <c r="W516" s="6">
        <f>V516/V601</f>
        <v>0.29841897233201581</v>
      </c>
      <c r="X516" s="6">
        <f>151/$X$3</f>
        <v>0.27962962962962962</v>
      </c>
      <c r="Z516">
        <v>25</v>
      </c>
      <c r="AA516" s="6">
        <f>Z516/Z601</f>
        <v>0.23584905660377359</v>
      </c>
      <c r="AB516" s="6">
        <f>25/$AB$3</f>
        <v>0.22123893805309736</v>
      </c>
      <c r="AD516">
        <v>46</v>
      </c>
      <c r="AE516" s="6">
        <f>AD516/AD601</f>
        <v>0.24468085106382978</v>
      </c>
      <c r="AF516" s="6">
        <f>46/$AF$3</f>
        <v>0.23232323232323232</v>
      </c>
      <c r="AH516">
        <v>78</v>
      </c>
      <c r="AI516" s="6">
        <f>AH516/AH601</f>
        <v>0.33620689655172414</v>
      </c>
      <c r="AJ516" s="6">
        <f>78/$AJ$3</f>
        <v>0.31578947368421051</v>
      </c>
      <c r="AL516">
        <v>61</v>
      </c>
      <c r="AM516" s="6">
        <f>AL516/AL601</f>
        <v>0.27981651376146788</v>
      </c>
      <c r="AN516" s="6">
        <f>61/$AN$3</f>
        <v>0.26293103448275862</v>
      </c>
      <c r="AP516">
        <v>57</v>
      </c>
      <c r="AQ516" s="6">
        <f>AP516/AP601</f>
        <v>0.33727810650887574</v>
      </c>
      <c r="AR516" s="6">
        <f>57/$AR$3</f>
        <v>0.30645161290322581</v>
      </c>
      <c r="AT516">
        <v>41</v>
      </c>
      <c r="AU516" s="6">
        <f>AT516/AT601</f>
        <v>0.3504273504273504</v>
      </c>
      <c r="AV516" s="6">
        <f>41/$AV$3</f>
        <v>0.33064516129032256</v>
      </c>
      <c r="AX516">
        <v>111</v>
      </c>
      <c r="AY516" s="6">
        <f>AX516/AX601</f>
        <v>0.2810126582278481</v>
      </c>
      <c r="AZ516" s="6">
        <f>111/$AZ$3</f>
        <v>0.25813953488372093</v>
      </c>
      <c r="BB516">
        <v>118</v>
      </c>
      <c r="BC516" s="6">
        <f>BB516/BB601</f>
        <v>0.29135802469135802</v>
      </c>
      <c r="BD516" s="6">
        <f>118/$BD$3</f>
        <v>0.27570093457943923</v>
      </c>
      <c r="BF516">
        <v>79</v>
      </c>
      <c r="BG516" s="6">
        <f>BF516/BF601</f>
        <v>0.34347826086956523</v>
      </c>
      <c r="BH516" s="6">
        <f>79/$BH$3</f>
        <v>0.32644628099173556</v>
      </c>
      <c r="BJ516">
        <v>117</v>
      </c>
      <c r="BK516" s="6">
        <f>BJ516/BJ601</f>
        <v>0.31367292225201071</v>
      </c>
      <c r="BL516" s="6">
        <f>117/$BL$3</f>
        <v>0.29032258064516131</v>
      </c>
      <c r="BN516">
        <v>117</v>
      </c>
      <c r="BO516" s="6">
        <f>BN516/BN601</f>
        <v>0.29770992366412213</v>
      </c>
      <c r="BP516" s="6">
        <f>117/$BP$3</f>
        <v>0.27659574468085107</v>
      </c>
      <c r="BR516">
        <v>74</v>
      </c>
      <c r="BS516" s="6">
        <f>BR516/BR601</f>
        <v>0.28030303030303028</v>
      </c>
      <c r="BT516" s="6">
        <f>74/$BT$3</f>
        <v>0.27007299270072993</v>
      </c>
      <c r="BV516">
        <v>93</v>
      </c>
      <c r="BW516" s="6">
        <f>BV516/BV601</f>
        <v>0.32517482517482516</v>
      </c>
      <c r="BX516" s="6">
        <f>93/$BX$3</f>
        <v>0.30491803278688523</v>
      </c>
      <c r="BZ516">
        <v>53</v>
      </c>
      <c r="CA516" s="6">
        <f>BZ516/BZ601</f>
        <v>0.25118483412322273</v>
      </c>
      <c r="CB516" s="6">
        <f>53/$CB$3</f>
        <v>0.23660714285714285</v>
      </c>
      <c r="CD516">
        <v>71</v>
      </c>
      <c r="CE516" s="6">
        <f>CD516/CD601</f>
        <v>0.31838565022421522</v>
      </c>
      <c r="CF516" s="6">
        <f>71/$CF$3</f>
        <v>0.29460580912863071</v>
      </c>
      <c r="CH516">
        <v>91</v>
      </c>
      <c r="CI516" s="6">
        <f>CH516/CH601</f>
        <v>0.29354838709677417</v>
      </c>
      <c r="CJ516" s="6">
        <f>91/$CJ$3</f>
        <v>0.27575757575757576</v>
      </c>
    </row>
    <row r="518" spans="1:88" x14ac:dyDescent="0.35">
      <c r="A518" s="1" t="s">
        <v>1561</v>
      </c>
      <c r="B518">
        <v>321</v>
      </c>
      <c r="C518" s="6">
        <f>B518/B601</f>
        <v>0.31165048543689322</v>
      </c>
      <c r="D518" s="6">
        <f>321/$D$3</f>
        <v>0.29181818181818181</v>
      </c>
      <c r="F518">
        <v>287</v>
      </c>
      <c r="G518" s="6">
        <f>F518/F601</f>
        <v>0.33064516129032256</v>
      </c>
      <c r="H518" s="6">
        <f>287/$H$3</f>
        <v>0.31503841931942922</v>
      </c>
      <c r="J518">
        <v>152</v>
      </c>
      <c r="K518" s="6">
        <f>J518/J601</f>
        <v>0.3619047619047619</v>
      </c>
      <c r="L518" s="9">
        <f>152/$L$3</f>
        <v>0.35023041474654376</v>
      </c>
      <c r="N518">
        <v>25</v>
      </c>
      <c r="O518" s="6">
        <f>N518/N601</f>
        <v>0.32467532467532467</v>
      </c>
      <c r="P518" s="6">
        <f>25/$P$3</f>
        <v>0.30864197530864196</v>
      </c>
      <c r="R518">
        <v>149</v>
      </c>
      <c r="S518" s="6">
        <f>R518/R601</f>
        <v>0.28435114503816794</v>
      </c>
      <c r="T518" s="6">
        <f>149/$T$3</f>
        <v>0.26607142857142857</v>
      </c>
      <c r="V518">
        <v>172</v>
      </c>
      <c r="W518" s="6">
        <f>V518/V601</f>
        <v>0.33992094861660077</v>
      </c>
      <c r="X518" s="6">
        <f>172/$X$3</f>
        <v>0.31851851851851853</v>
      </c>
      <c r="Z518">
        <v>46</v>
      </c>
      <c r="AA518" s="6">
        <f>Z518/Z601</f>
        <v>0.43396226415094341</v>
      </c>
      <c r="AB518" s="9">
        <f>46/$AB$3</f>
        <v>0.40707964601769914</v>
      </c>
      <c r="AC518" s="7"/>
      <c r="AD518">
        <v>64</v>
      </c>
      <c r="AE518" s="6">
        <f>AD518/AD601</f>
        <v>0.34042553191489361</v>
      </c>
      <c r="AF518" s="6">
        <f>64/$AF$3</f>
        <v>0.32323232323232326</v>
      </c>
      <c r="AH518">
        <v>67</v>
      </c>
      <c r="AI518" s="6">
        <f>AH518/AH601</f>
        <v>0.28879310344827586</v>
      </c>
      <c r="AJ518" s="6">
        <f>67/$AJ$3</f>
        <v>0.27125506072874495</v>
      </c>
      <c r="AL518">
        <v>67</v>
      </c>
      <c r="AM518" s="6">
        <f>AL518/AL601</f>
        <v>0.30733944954128439</v>
      </c>
      <c r="AN518" s="6">
        <f>67/$AN$3</f>
        <v>0.28879310344827586</v>
      </c>
      <c r="AP518">
        <v>51</v>
      </c>
      <c r="AQ518" s="6">
        <f>AP518/AP601</f>
        <v>0.30177514792899407</v>
      </c>
      <c r="AR518" s="6">
        <f>51/$AR$3</f>
        <v>0.27419354838709675</v>
      </c>
      <c r="AT518">
        <v>26</v>
      </c>
      <c r="AU518" s="6">
        <f>AT518/AT601</f>
        <v>0.22222222222222221</v>
      </c>
      <c r="AV518" s="8">
        <f>26/$AV$3</f>
        <v>0.20967741935483872</v>
      </c>
      <c r="AX518">
        <v>124</v>
      </c>
      <c r="AY518" s="6">
        <f>AX518/AX601</f>
        <v>0.3139240506329114</v>
      </c>
      <c r="AZ518" s="6">
        <f>124/$AZ$3</f>
        <v>0.28837209302325584</v>
      </c>
      <c r="BB518">
        <v>133</v>
      </c>
      <c r="BC518" s="6">
        <f>BB518/BB601</f>
        <v>0.32839506172839505</v>
      </c>
      <c r="BD518" s="6">
        <f>133/$BD$3</f>
        <v>0.31074766355140188</v>
      </c>
      <c r="BF518">
        <v>64</v>
      </c>
      <c r="BG518" s="6">
        <f>BF518/BF601</f>
        <v>0.27826086956521739</v>
      </c>
      <c r="BH518" s="6">
        <f>64/$BH$3</f>
        <v>0.26446280991735538</v>
      </c>
      <c r="BJ518">
        <v>112</v>
      </c>
      <c r="BK518" s="6">
        <f>BJ518/BJ601</f>
        <v>0.30026809651474529</v>
      </c>
      <c r="BL518" s="6">
        <f>112/$BL$3</f>
        <v>0.27791563275434245</v>
      </c>
      <c r="BN518">
        <v>121</v>
      </c>
      <c r="BO518" s="6">
        <f>BN518/BN601</f>
        <v>0.30788804071246817</v>
      </c>
      <c r="BP518" s="6">
        <f>121/$BP$3</f>
        <v>0.2860520094562648</v>
      </c>
      <c r="BR518">
        <v>88</v>
      </c>
      <c r="BS518" s="6">
        <f>BR518/BR601</f>
        <v>0.33333333333333331</v>
      </c>
      <c r="BT518" s="6">
        <f>88/$BT$3</f>
        <v>0.32116788321167883</v>
      </c>
      <c r="BV518">
        <v>83</v>
      </c>
      <c r="BW518" s="6">
        <f>BV518/BV601</f>
        <v>0.29020979020979021</v>
      </c>
      <c r="BX518" s="6">
        <f>83/$BX$3</f>
        <v>0.27213114754098361</v>
      </c>
      <c r="BZ518">
        <v>63</v>
      </c>
      <c r="CA518" s="6">
        <f>BZ518/BZ601</f>
        <v>0.29857819905213268</v>
      </c>
      <c r="CB518" s="6">
        <f>63/$CB$3</f>
        <v>0.28125</v>
      </c>
      <c r="CD518">
        <v>71</v>
      </c>
      <c r="CE518" s="6">
        <f>CD518/CD601</f>
        <v>0.31838565022421522</v>
      </c>
      <c r="CF518" s="6">
        <f>71/$CF$3</f>
        <v>0.29460580912863071</v>
      </c>
      <c r="CH518">
        <v>104</v>
      </c>
      <c r="CI518" s="6">
        <f>CH518/CH601</f>
        <v>0.33548387096774196</v>
      </c>
      <c r="CJ518" s="6">
        <f>104/$CJ$3</f>
        <v>0.31515151515151513</v>
      </c>
    </row>
    <row r="519" spans="1:88" x14ac:dyDescent="0.35">
      <c r="A519" s="1" t="s">
        <v>1562</v>
      </c>
      <c r="B519">
        <v>91</v>
      </c>
      <c r="C519" s="6">
        <f>B519/B601</f>
        <v>8.8349514563106801E-2</v>
      </c>
      <c r="D519" s="6">
        <f>91/$D$3</f>
        <v>8.2727272727272733E-2</v>
      </c>
      <c r="F519">
        <v>83</v>
      </c>
      <c r="G519" s="6">
        <f>F519/F601</f>
        <v>9.5622119815668205E-2</v>
      </c>
      <c r="H519" s="6">
        <f>83/$H$3</f>
        <v>9.110867178924259E-2</v>
      </c>
      <c r="J519">
        <v>40</v>
      </c>
      <c r="K519" s="6">
        <f>J519/J601</f>
        <v>9.5238095238095233E-2</v>
      </c>
      <c r="L519" s="6">
        <f>40/$L$3</f>
        <v>9.2165898617511524E-2</v>
      </c>
      <c r="N519">
        <v>8</v>
      </c>
      <c r="O519" s="6">
        <f>N519/N601</f>
        <v>0.1038961038961039</v>
      </c>
      <c r="P519" s="6">
        <f>8/$P$3</f>
        <v>9.8765432098765427E-2</v>
      </c>
      <c r="R519">
        <v>46</v>
      </c>
      <c r="S519" s="6">
        <f>R519/R601</f>
        <v>8.7786259541984726E-2</v>
      </c>
      <c r="T519" s="6">
        <f>46/$T$3</f>
        <v>8.2142857142857142E-2</v>
      </c>
      <c r="V519">
        <v>45</v>
      </c>
      <c r="W519" s="6">
        <f>V519/V601</f>
        <v>8.8932806324110672E-2</v>
      </c>
      <c r="X519" s="6">
        <f>45/$X$3</f>
        <v>8.3333333333333329E-2</v>
      </c>
      <c r="Z519">
        <v>4</v>
      </c>
      <c r="AA519" s="6">
        <f>Z519/Z601</f>
        <v>3.7735849056603772E-2</v>
      </c>
      <c r="AB519" s="6">
        <f>4/$AB$3</f>
        <v>3.5398230088495575E-2</v>
      </c>
      <c r="AD519">
        <v>10</v>
      </c>
      <c r="AE519" s="6">
        <f>AD519/AD601</f>
        <v>5.3191489361702128E-2</v>
      </c>
      <c r="AF519" s="6">
        <f>10/$AF$3</f>
        <v>5.0505050505050504E-2</v>
      </c>
      <c r="AH519">
        <v>26</v>
      </c>
      <c r="AI519" s="6">
        <f>AH519/AH601</f>
        <v>0.11206896551724138</v>
      </c>
      <c r="AJ519" s="6">
        <f>26/$AJ$3</f>
        <v>0.10526315789473684</v>
      </c>
      <c r="AL519">
        <v>25</v>
      </c>
      <c r="AM519" s="6">
        <f>AL519/AL601</f>
        <v>0.11467889908256881</v>
      </c>
      <c r="AN519" s="6">
        <f>25/$AN$3</f>
        <v>0.10775862068965517</v>
      </c>
      <c r="AP519">
        <v>13</v>
      </c>
      <c r="AQ519" s="6">
        <f>AP519/AP601</f>
        <v>7.6923076923076927E-2</v>
      </c>
      <c r="AR519" s="6">
        <f>13/$AR$3</f>
        <v>6.9892473118279563E-2</v>
      </c>
      <c r="AT519">
        <v>13</v>
      </c>
      <c r="AU519" s="6">
        <f>AT519/AT601</f>
        <v>0.1111111111111111</v>
      </c>
      <c r="AV519" s="6">
        <f>13/$AV$3</f>
        <v>0.10483870967741936</v>
      </c>
      <c r="AX519">
        <v>44</v>
      </c>
      <c r="AY519" s="6">
        <f>AX519/AX601</f>
        <v>0.11139240506329114</v>
      </c>
      <c r="AZ519" s="6">
        <f>44/$AZ$3</f>
        <v>0.10232558139534884</v>
      </c>
      <c r="BB519">
        <v>32</v>
      </c>
      <c r="BC519" s="6">
        <f>BB519/BB601</f>
        <v>7.9012345679012344E-2</v>
      </c>
      <c r="BD519" s="6">
        <f>32/$BD$3</f>
        <v>7.476635514018691E-2</v>
      </c>
      <c r="BF519">
        <v>15</v>
      </c>
      <c r="BG519" s="6">
        <f>BF519/BF601</f>
        <v>6.5217391304347824E-2</v>
      </c>
      <c r="BH519" s="6">
        <f>15/$BH$3</f>
        <v>6.1983471074380167E-2</v>
      </c>
      <c r="BJ519">
        <v>40</v>
      </c>
      <c r="BK519" s="6">
        <f>BJ519/BJ601</f>
        <v>0.10723860589812333</v>
      </c>
      <c r="BL519" s="6">
        <f>40/$BL$3</f>
        <v>9.9255583126550875E-2</v>
      </c>
      <c r="BN519">
        <v>33</v>
      </c>
      <c r="BO519" s="6">
        <f>BN519/BN601</f>
        <v>8.3969465648854963E-2</v>
      </c>
      <c r="BP519" s="6">
        <f>33/$BP$3</f>
        <v>7.8014184397163122E-2</v>
      </c>
      <c r="BR519">
        <v>18</v>
      </c>
      <c r="BS519" s="6">
        <f>BR519/BR601</f>
        <v>6.8181818181818177E-2</v>
      </c>
      <c r="BT519" s="6">
        <f>18/$BT$3</f>
        <v>6.569343065693431E-2</v>
      </c>
      <c r="BV519">
        <v>28</v>
      </c>
      <c r="BW519" s="6">
        <f>BV519/BV601</f>
        <v>9.7902097902097904E-2</v>
      </c>
      <c r="BX519" s="6">
        <f>28/$BX$3</f>
        <v>9.1803278688524587E-2</v>
      </c>
      <c r="BZ519">
        <v>24</v>
      </c>
      <c r="CA519" s="6">
        <f>BZ519/BZ601</f>
        <v>0.11374407582938388</v>
      </c>
      <c r="CB519" s="6">
        <f>24/$CB$3</f>
        <v>0.10714285714285714</v>
      </c>
      <c r="CD519">
        <v>18</v>
      </c>
      <c r="CE519" s="6">
        <f>CD519/CD601</f>
        <v>8.0717488789237665E-2</v>
      </c>
      <c r="CF519" s="6">
        <f>18/$CF$3</f>
        <v>7.4688796680497924E-2</v>
      </c>
      <c r="CH519">
        <v>21</v>
      </c>
      <c r="CI519" s="6">
        <f>CH519/CH601</f>
        <v>6.7741935483870974E-2</v>
      </c>
      <c r="CJ519" s="6">
        <f>21/$CJ$3</f>
        <v>6.363636363636363E-2</v>
      </c>
    </row>
    <row r="520" spans="1:88" x14ac:dyDescent="0.35">
      <c r="A520" s="1" t="s">
        <v>1563</v>
      </c>
      <c r="B520">
        <v>48</v>
      </c>
      <c r="C520" s="6">
        <f>B520/B601</f>
        <v>4.6601941747572817E-2</v>
      </c>
      <c r="D520" s="6">
        <f>48/$D$3</f>
        <v>4.363636363636364E-2</v>
      </c>
      <c r="F520">
        <v>47</v>
      </c>
      <c r="G520" s="6">
        <f>F520/F601</f>
        <v>5.414746543778802E-2</v>
      </c>
      <c r="H520" s="6">
        <f>47/$H$3</f>
        <v>5.159165751920966E-2</v>
      </c>
      <c r="J520">
        <v>18</v>
      </c>
      <c r="K520" s="6">
        <f>J520/J601</f>
        <v>4.2857142857142858E-2</v>
      </c>
      <c r="L520" s="6">
        <f>18/$L$3</f>
        <v>4.1474654377880185E-2</v>
      </c>
      <c r="N520">
        <v>4</v>
      </c>
      <c r="O520" s="6">
        <f>N520/N601</f>
        <v>5.1948051948051951E-2</v>
      </c>
      <c r="P520" s="6">
        <f>4/$P$3</f>
        <v>4.9382716049382713E-2</v>
      </c>
      <c r="R520">
        <v>25</v>
      </c>
      <c r="S520" s="6">
        <f>R520/R601</f>
        <v>4.7709923664122141E-2</v>
      </c>
      <c r="T520" s="6">
        <f>25/$T$3</f>
        <v>4.4642857142857144E-2</v>
      </c>
      <c r="V520">
        <v>23</v>
      </c>
      <c r="W520" s="6">
        <f>V520/V601</f>
        <v>4.5454545454545456E-2</v>
      </c>
      <c r="X520" s="6">
        <f>23/$X$3</f>
        <v>4.2592592592592592E-2</v>
      </c>
      <c r="Z520">
        <v>6</v>
      </c>
      <c r="AA520" s="6">
        <f>Z520/Z601</f>
        <v>5.6603773584905662E-2</v>
      </c>
      <c r="AB520" s="6">
        <f>6/$AB$3</f>
        <v>5.3097345132743362E-2</v>
      </c>
      <c r="AD520">
        <v>11</v>
      </c>
      <c r="AE520" s="6">
        <f>AD520/AD601</f>
        <v>5.8510638297872342E-2</v>
      </c>
      <c r="AF520" s="6">
        <f>11/$AF$3</f>
        <v>5.5555555555555552E-2</v>
      </c>
      <c r="AH520">
        <v>10</v>
      </c>
      <c r="AI520" s="6">
        <f>AH520/AH601</f>
        <v>4.3103448275862072E-2</v>
      </c>
      <c r="AJ520" s="6">
        <f>10/$AJ$3</f>
        <v>4.048582995951417E-2</v>
      </c>
      <c r="AL520">
        <v>8</v>
      </c>
      <c r="AM520" s="6">
        <f>AL520/AL601</f>
        <v>3.669724770642202E-2</v>
      </c>
      <c r="AN520" s="6">
        <f>8/$AN$3</f>
        <v>3.4482758620689655E-2</v>
      </c>
      <c r="AP520">
        <v>9</v>
      </c>
      <c r="AQ520" s="6">
        <f>AP520/AP601</f>
        <v>5.3254437869822487E-2</v>
      </c>
      <c r="AR520" s="6">
        <f>9/$AR$3</f>
        <v>4.8387096774193547E-2</v>
      </c>
      <c r="AT520">
        <v>4</v>
      </c>
      <c r="AU520" s="6">
        <f>AT520/AT601</f>
        <v>3.4188034188034191E-2</v>
      </c>
      <c r="AV520" s="6">
        <f>4/$AV$3</f>
        <v>3.2258064516129031E-2</v>
      </c>
      <c r="AX520">
        <v>18</v>
      </c>
      <c r="AY520" s="6">
        <f>AX520/AX601</f>
        <v>4.5569620253164557E-2</v>
      </c>
      <c r="AZ520" s="6">
        <f>18/$AZ$3</f>
        <v>4.1860465116279069E-2</v>
      </c>
      <c r="BB520">
        <v>17</v>
      </c>
      <c r="BC520" s="6">
        <f>BB520/BB601</f>
        <v>4.1975308641975309E-2</v>
      </c>
      <c r="BD520" s="6">
        <f>17/$BD$3</f>
        <v>3.9719626168224297E-2</v>
      </c>
      <c r="BF520">
        <v>13</v>
      </c>
      <c r="BG520" s="6">
        <f>BF520/BF601</f>
        <v>5.6521739130434782E-2</v>
      </c>
      <c r="BH520" s="6">
        <f>13/$BH$3</f>
        <v>5.3719008264462811E-2</v>
      </c>
      <c r="BJ520">
        <v>20</v>
      </c>
      <c r="BK520" s="6">
        <f>BJ520/BJ601</f>
        <v>5.3619302949061663E-2</v>
      </c>
      <c r="BL520" s="6">
        <f>20/$BL$3</f>
        <v>4.9627791563275438E-2</v>
      </c>
      <c r="BN520">
        <v>19</v>
      </c>
      <c r="BO520" s="6">
        <f>BN520/BN601</f>
        <v>4.8346055979643768E-2</v>
      </c>
      <c r="BP520" s="6">
        <f>19/$BP$3</f>
        <v>4.4917257683215132E-2</v>
      </c>
      <c r="BR520">
        <v>9</v>
      </c>
      <c r="BS520" s="6">
        <f>BR520/BR601</f>
        <v>3.4090909090909088E-2</v>
      </c>
      <c r="BT520" s="6">
        <f>9/$BT$3</f>
        <v>3.2846715328467155E-2</v>
      </c>
      <c r="BV520">
        <v>14</v>
      </c>
      <c r="BW520" s="6">
        <f>BV520/BV601</f>
        <v>4.8951048951048952E-2</v>
      </c>
      <c r="BX520" s="6">
        <f>14/$BX$3</f>
        <v>4.5901639344262293E-2</v>
      </c>
      <c r="BZ520">
        <v>7</v>
      </c>
      <c r="CA520" s="6">
        <f>BZ520/BZ601</f>
        <v>3.3175355450236969E-2</v>
      </c>
      <c r="CB520" s="6">
        <f>7/$CB$3</f>
        <v>3.125E-2</v>
      </c>
      <c r="CD520">
        <v>13</v>
      </c>
      <c r="CE520" s="6">
        <f>CD520/CD601</f>
        <v>5.829596412556054E-2</v>
      </c>
      <c r="CF520" s="6">
        <f>13/$CF$3</f>
        <v>5.3941908713692949E-2</v>
      </c>
      <c r="CH520">
        <v>14</v>
      </c>
      <c r="CI520" s="6">
        <f>CH520/CH601</f>
        <v>4.5161290322580643E-2</v>
      </c>
      <c r="CJ520" s="6">
        <f>14/$CJ$3</f>
        <v>4.2424242424242427E-2</v>
      </c>
    </row>
    <row r="521" spans="1:88" x14ac:dyDescent="0.35">
      <c r="A521" s="1" t="s">
        <v>1564</v>
      </c>
      <c r="B521">
        <v>164</v>
      </c>
      <c r="C521" s="6">
        <f>B521/B601</f>
        <v>0.15922330097087378</v>
      </c>
      <c r="D521" s="6">
        <f>164/$D$3</f>
        <v>0.14909090909090908</v>
      </c>
      <c r="F521">
        <v>141</v>
      </c>
      <c r="G521" s="6">
        <f>F521/F601</f>
        <v>0.16244239631336405</v>
      </c>
      <c r="H521" s="6">
        <f>141/$H$3</f>
        <v>0.15477497255762898</v>
      </c>
      <c r="J521">
        <v>60</v>
      </c>
      <c r="K521" s="6">
        <f>J521/J601</f>
        <v>0.14285714285714285</v>
      </c>
      <c r="L521" s="6">
        <f>60/$L$3</f>
        <v>0.13824884792626729</v>
      </c>
      <c r="N521">
        <v>19</v>
      </c>
      <c r="O521" s="6">
        <f>N521/N601</f>
        <v>0.24675324675324675</v>
      </c>
      <c r="P521" s="9">
        <f>19/$P$3</f>
        <v>0.23456790123456789</v>
      </c>
      <c r="R521">
        <v>79</v>
      </c>
      <c r="S521" s="6">
        <f>R521/R601</f>
        <v>0.15076335877862596</v>
      </c>
      <c r="T521" s="6">
        <f>79/$T$3</f>
        <v>0.14107142857142857</v>
      </c>
      <c r="V521">
        <v>85</v>
      </c>
      <c r="W521" s="6">
        <f>V521/V601</f>
        <v>0.16798418972332016</v>
      </c>
      <c r="X521" s="6">
        <f>85/$X$3</f>
        <v>0.15740740740740741</v>
      </c>
      <c r="Z521">
        <v>12</v>
      </c>
      <c r="AA521" s="6">
        <f>Z521/Z601</f>
        <v>0.11320754716981132</v>
      </c>
      <c r="AB521" s="6">
        <f>12/$AB$3</f>
        <v>0.10619469026548672</v>
      </c>
      <c r="AD521">
        <v>30</v>
      </c>
      <c r="AE521" s="6">
        <f>AD521/AD601</f>
        <v>0.15957446808510639</v>
      </c>
      <c r="AF521" s="6">
        <f>30/$AF$3</f>
        <v>0.15151515151515152</v>
      </c>
      <c r="AH521">
        <v>28</v>
      </c>
      <c r="AI521" s="6">
        <f>AH521/AH601</f>
        <v>0.1206896551724138</v>
      </c>
      <c r="AJ521" s="6">
        <f>28/$AJ$3</f>
        <v>0.11336032388663968</v>
      </c>
      <c r="AL521">
        <v>39</v>
      </c>
      <c r="AM521" s="6">
        <f>AL521/AL601</f>
        <v>0.17889908256880735</v>
      </c>
      <c r="AN521" s="6">
        <f>39/$AN$3</f>
        <v>0.16810344827586207</v>
      </c>
      <c r="AP521">
        <v>32</v>
      </c>
      <c r="AQ521" s="6">
        <f>AP521/AP601</f>
        <v>0.1893491124260355</v>
      </c>
      <c r="AR521" s="6">
        <f>32/$AR$3</f>
        <v>0.17204301075268819</v>
      </c>
      <c r="AT521">
        <v>23</v>
      </c>
      <c r="AU521" s="6">
        <f>AT521/AT601</f>
        <v>0.19658119658119658</v>
      </c>
      <c r="AV521" s="6">
        <f>23/$AV$3</f>
        <v>0.18548387096774194</v>
      </c>
      <c r="AX521">
        <v>73</v>
      </c>
      <c r="AY521" s="6">
        <f>AX521/AX601</f>
        <v>0.18481012658227849</v>
      </c>
      <c r="AZ521" s="6">
        <f>73/$AZ$3</f>
        <v>0.16976744186046511</v>
      </c>
      <c r="BB521">
        <v>66</v>
      </c>
      <c r="BC521" s="6">
        <f>BB521/BB601</f>
        <v>0.16296296296296298</v>
      </c>
      <c r="BD521" s="6">
        <f>66/$BD$3</f>
        <v>0.1542056074766355</v>
      </c>
      <c r="BF521">
        <v>25</v>
      </c>
      <c r="BG521" s="6">
        <f>BF521/BF601</f>
        <v>0.10869565217391304</v>
      </c>
      <c r="BH521" s="6">
        <f>25/$BH$3</f>
        <v>0.10330578512396695</v>
      </c>
      <c r="BJ521">
        <v>54</v>
      </c>
      <c r="BK521" s="6">
        <f>BJ521/BJ601</f>
        <v>0.1447721179624665</v>
      </c>
      <c r="BL521" s="6">
        <f>54/$BL$3</f>
        <v>0.13399503722084366</v>
      </c>
      <c r="BN521">
        <v>67</v>
      </c>
      <c r="BO521" s="6">
        <f>BN521/BN601</f>
        <v>0.17048346055979643</v>
      </c>
      <c r="BP521" s="6">
        <f>67/$BP$3</f>
        <v>0.15839243498817968</v>
      </c>
      <c r="BR521">
        <v>43</v>
      </c>
      <c r="BS521" s="6">
        <f>BR521/BR601</f>
        <v>0.16287878787878787</v>
      </c>
      <c r="BT521" s="6">
        <f>43/$BT$3</f>
        <v>0.15693430656934307</v>
      </c>
      <c r="BV521">
        <v>54</v>
      </c>
      <c r="BW521" s="6">
        <f>BV521/BV601</f>
        <v>0.1888111888111888</v>
      </c>
      <c r="BX521" s="6">
        <f>54/$BX$3</f>
        <v>0.17704918032786884</v>
      </c>
      <c r="BZ521">
        <v>41</v>
      </c>
      <c r="CA521" s="6">
        <f>BZ521/BZ601</f>
        <v>0.19431279620853081</v>
      </c>
      <c r="CB521" s="6">
        <f>41/$CB$3</f>
        <v>0.18303571428571427</v>
      </c>
      <c r="CD521">
        <v>32</v>
      </c>
      <c r="CE521" s="6">
        <f>CD521/CD601</f>
        <v>0.14349775784753363</v>
      </c>
      <c r="CF521" s="6">
        <f>32/$CF$3</f>
        <v>0.13278008298755187</v>
      </c>
      <c r="CH521">
        <v>37</v>
      </c>
      <c r="CI521" s="6">
        <f>CH521/CH601</f>
        <v>0.11935483870967742</v>
      </c>
      <c r="CJ521" s="6">
        <f>37/$CJ$3</f>
        <v>0.11212121212121212</v>
      </c>
    </row>
    <row r="522" spans="1:88" x14ac:dyDescent="0.35">
      <c r="A522" s="1" t="s">
        <v>1565</v>
      </c>
      <c r="B522">
        <v>77</v>
      </c>
      <c r="C522" s="6">
        <f>B522/B601</f>
        <v>7.4757281553398058E-2</v>
      </c>
      <c r="D522" s="6">
        <f>77/$D$3</f>
        <v>7.0000000000000007E-2</v>
      </c>
      <c r="F522">
        <v>71</v>
      </c>
      <c r="G522" s="6">
        <f>F522/F601</f>
        <v>8.1797235023041481E-2</v>
      </c>
      <c r="H522" s="6">
        <f>71/$H$3</f>
        <v>7.7936333699231614E-2</v>
      </c>
      <c r="J522">
        <v>54</v>
      </c>
      <c r="K522" s="6">
        <f>J522/J601</f>
        <v>0.12857142857142856</v>
      </c>
      <c r="L522" s="6">
        <f>54/$L$3</f>
        <v>0.12442396313364056</v>
      </c>
      <c r="N522">
        <v>4</v>
      </c>
      <c r="O522" s="6">
        <f>N522/N601</f>
        <v>5.1948051948051951E-2</v>
      </c>
      <c r="P522" s="6">
        <f>4/$P$3</f>
        <v>4.9382716049382713E-2</v>
      </c>
      <c r="R522">
        <v>43</v>
      </c>
      <c r="S522" s="6">
        <f>R522/R601</f>
        <v>8.2061068702290074E-2</v>
      </c>
      <c r="T522" s="6">
        <f>43/$T$3</f>
        <v>7.678571428571429E-2</v>
      </c>
      <c r="V522">
        <v>34</v>
      </c>
      <c r="W522" s="6">
        <f>V522/V601</f>
        <v>6.7193675889328064E-2</v>
      </c>
      <c r="X522" s="6">
        <f>34/$X$3</f>
        <v>6.2962962962962957E-2</v>
      </c>
      <c r="Z522">
        <v>13</v>
      </c>
      <c r="AA522" s="6">
        <f>Z522/Z601</f>
        <v>0.12264150943396226</v>
      </c>
      <c r="AB522" s="6">
        <f>13/$AB$3</f>
        <v>0.11504424778761062</v>
      </c>
      <c r="AC522" s="7"/>
      <c r="AD522">
        <v>14</v>
      </c>
      <c r="AE522" s="6">
        <f>AD522/AD601</f>
        <v>7.4468085106382975E-2</v>
      </c>
      <c r="AF522" s="6">
        <f>14/$AF$3</f>
        <v>7.0707070707070704E-2</v>
      </c>
      <c r="AH522">
        <v>24</v>
      </c>
      <c r="AI522" s="6">
        <f>AH522/AH601</f>
        <v>0.10344827586206896</v>
      </c>
      <c r="AJ522" s="6">
        <f>24/$AJ$3</f>
        <v>9.7165991902834009E-2</v>
      </c>
      <c r="AK522" s="7"/>
      <c r="AL522">
        <v>16</v>
      </c>
      <c r="AM522" s="6">
        <f>AL522/AL601</f>
        <v>7.3394495412844041E-2</v>
      </c>
      <c r="AN522" s="6">
        <f>16/$AN$3</f>
        <v>6.8965517241379309E-2</v>
      </c>
      <c r="AP522">
        <v>7</v>
      </c>
      <c r="AQ522" s="6">
        <f>AP522/AP601</f>
        <v>4.142011834319527E-2</v>
      </c>
      <c r="AR522" s="6">
        <f>7/$AR$3</f>
        <v>3.7634408602150539E-2</v>
      </c>
      <c r="AT522">
        <v>3</v>
      </c>
      <c r="AU522" s="6">
        <f>AT522/AT601</f>
        <v>2.564102564102564E-2</v>
      </c>
      <c r="AV522" s="6">
        <f>3/$AV$3</f>
        <v>2.4193548387096774E-2</v>
      </c>
      <c r="AX522">
        <v>27</v>
      </c>
      <c r="AY522" s="6">
        <f>AX522/AX601</f>
        <v>6.8354430379746839E-2</v>
      </c>
      <c r="AZ522" s="6">
        <f>27/$AZ$3</f>
        <v>6.2790697674418611E-2</v>
      </c>
      <c r="BB522">
        <v>31</v>
      </c>
      <c r="BC522" s="6">
        <f>BB522/BB601</f>
        <v>7.6543209876543214E-2</v>
      </c>
      <c r="BD522" s="6">
        <f>31/$BD$3</f>
        <v>7.2429906542056069E-2</v>
      </c>
      <c r="BF522">
        <v>19</v>
      </c>
      <c r="BG522" s="6">
        <f>BF522/BF601</f>
        <v>8.2608695652173908E-2</v>
      </c>
      <c r="BH522" s="6">
        <f>19/$BH$3</f>
        <v>7.8512396694214878E-2</v>
      </c>
      <c r="BJ522">
        <v>27</v>
      </c>
      <c r="BK522" s="6">
        <f>BJ522/BJ601</f>
        <v>7.2386058981233251E-2</v>
      </c>
      <c r="BL522" s="6">
        <f>27/$BL$3</f>
        <v>6.699751861042183E-2</v>
      </c>
      <c r="BN522">
        <v>30</v>
      </c>
      <c r="BO522" s="6">
        <f>BN522/BN601</f>
        <v>7.6335877862595422E-2</v>
      </c>
      <c r="BP522" s="6">
        <f>30/$BP$3</f>
        <v>7.0921985815602842E-2</v>
      </c>
      <c r="BR522">
        <v>20</v>
      </c>
      <c r="BS522" s="6">
        <f>BR522/BR601</f>
        <v>7.575757575757576E-2</v>
      </c>
      <c r="BT522" s="6">
        <f>20/$BT$3</f>
        <v>7.2992700729927001E-2</v>
      </c>
      <c r="BV522">
        <v>21</v>
      </c>
      <c r="BW522" s="6">
        <f>BV522/BV601</f>
        <v>7.3426573426573424E-2</v>
      </c>
      <c r="BX522" s="6">
        <f>21/$BX$3</f>
        <v>6.8852459016393447E-2</v>
      </c>
      <c r="BZ522">
        <v>21</v>
      </c>
      <c r="CA522" s="6">
        <f>BZ522/BZ601</f>
        <v>9.9526066350710901E-2</v>
      </c>
      <c r="CB522" s="6">
        <f>21/$CB$3</f>
        <v>9.375E-2</v>
      </c>
      <c r="CD522">
        <v>14</v>
      </c>
      <c r="CE522" s="6">
        <f>CD522/CD601</f>
        <v>6.2780269058295965E-2</v>
      </c>
      <c r="CF522" s="6">
        <f>14/$CF$3</f>
        <v>5.8091286307053944E-2</v>
      </c>
      <c r="CH522">
        <v>21</v>
      </c>
      <c r="CI522" s="6">
        <f>CH522/CH601</f>
        <v>6.7741935483870974E-2</v>
      </c>
      <c r="CJ522" s="6">
        <f>21/$CJ$3</f>
        <v>6.363636363636363E-2</v>
      </c>
    </row>
    <row r="523" spans="1:88" x14ac:dyDescent="0.35">
      <c r="A523" s="1" t="s">
        <v>1566</v>
      </c>
      <c r="B523">
        <v>329</v>
      </c>
      <c r="C523" s="6">
        <f>B523/B601</f>
        <v>0.31941747572815532</v>
      </c>
      <c r="D523" s="6">
        <f>329/$D$3</f>
        <v>0.29909090909090907</v>
      </c>
      <c r="F523">
        <v>239</v>
      </c>
      <c r="G523" s="6">
        <f>F523/F601</f>
        <v>0.27534562211981567</v>
      </c>
      <c r="H523" s="6">
        <f>239/$H$3</f>
        <v>0.26234906695938531</v>
      </c>
      <c r="J523">
        <v>96</v>
      </c>
      <c r="K523" s="6">
        <f>J523/J601</f>
        <v>0.22857142857142856</v>
      </c>
      <c r="L523" s="8">
        <f>96/$L$3</f>
        <v>0.22119815668202766</v>
      </c>
      <c r="N523">
        <v>17</v>
      </c>
      <c r="O523" s="6">
        <f>N523/N601</f>
        <v>0.22077922077922077</v>
      </c>
      <c r="P523" s="6">
        <f>17/$P$3</f>
        <v>0.20987654320987653</v>
      </c>
      <c r="R523">
        <v>182</v>
      </c>
      <c r="S523" s="6">
        <f>R523/R601</f>
        <v>0.34732824427480918</v>
      </c>
      <c r="T523" s="6">
        <f>182/$T$3</f>
        <v>0.32500000000000001</v>
      </c>
      <c r="V523">
        <v>147</v>
      </c>
      <c r="W523" s="6">
        <f>V523/V601</f>
        <v>0.29051383399209485</v>
      </c>
      <c r="X523" s="6">
        <f>147/$X$3</f>
        <v>0.2722222222222222</v>
      </c>
      <c r="Z523">
        <v>25</v>
      </c>
      <c r="AA523" s="6">
        <f>Z523/Z601</f>
        <v>0.23584905660377359</v>
      </c>
      <c r="AB523" s="6">
        <f>25/$AB$3</f>
        <v>0.22123893805309736</v>
      </c>
      <c r="AD523">
        <v>59</v>
      </c>
      <c r="AE523" s="6">
        <f>AD523/AD601</f>
        <v>0.31382978723404253</v>
      </c>
      <c r="AF523" s="6">
        <f>59/$AF$3</f>
        <v>0.29797979797979796</v>
      </c>
      <c r="AH523">
        <v>77</v>
      </c>
      <c r="AI523" s="6">
        <f>AH523/AH601</f>
        <v>0.33189655172413796</v>
      </c>
      <c r="AJ523" s="6">
        <f>77/$AJ$3</f>
        <v>0.31174089068825911</v>
      </c>
      <c r="AL523">
        <v>63</v>
      </c>
      <c r="AM523" s="6">
        <f>AL523/AL601</f>
        <v>0.28899082568807338</v>
      </c>
      <c r="AN523" s="6">
        <f>63/$AN$3</f>
        <v>0.27155172413793105</v>
      </c>
      <c r="AP523">
        <v>57</v>
      </c>
      <c r="AQ523" s="6">
        <f>AP523/AP601</f>
        <v>0.33727810650887574</v>
      </c>
      <c r="AR523" s="6">
        <f>57/$AR$3</f>
        <v>0.30645161290322581</v>
      </c>
      <c r="AT523">
        <v>48</v>
      </c>
      <c r="AU523" s="6">
        <f>AT523/AT601</f>
        <v>0.41025641025641024</v>
      </c>
      <c r="AV523" s="9">
        <f>48/$AV$3</f>
        <v>0.38709677419354838</v>
      </c>
      <c r="AX523">
        <v>109</v>
      </c>
      <c r="AY523" s="6">
        <f>AX523/AX601</f>
        <v>0.27594936708860762</v>
      </c>
      <c r="AZ523" s="6">
        <f>109/$AZ$3</f>
        <v>0.25348837209302327</v>
      </c>
      <c r="BB523">
        <v>126</v>
      </c>
      <c r="BC523" s="6">
        <f>BB523/BB601</f>
        <v>0.31111111111111112</v>
      </c>
      <c r="BD523" s="6">
        <f>126/$BD$3</f>
        <v>0.29439252336448596</v>
      </c>
      <c r="BF523">
        <v>94</v>
      </c>
      <c r="BG523" s="6">
        <f>BF523/BF601</f>
        <v>0.40869565217391307</v>
      </c>
      <c r="BH523" s="9">
        <f>94/$BH$3</f>
        <v>0.38842975206611569</v>
      </c>
      <c r="BI523" s="7" t="s">
        <v>3</v>
      </c>
      <c r="BJ523">
        <v>120</v>
      </c>
      <c r="BK523" s="6">
        <f>BJ523/BJ601</f>
        <v>0.32171581769436997</v>
      </c>
      <c r="BL523" s="6">
        <f>120/$BL$3</f>
        <v>0.29776674937965258</v>
      </c>
      <c r="BN523">
        <v>123</v>
      </c>
      <c r="BO523" s="6">
        <f>BN523/BN601</f>
        <v>0.31297709923664124</v>
      </c>
      <c r="BP523" s="6">
        <f>123/$BP$3</f>
        <v>0.29078014184397161</v>
      </c>
      <c r="BR523">
        <v>86</v>
      </c>
      <c r="BS523" s="6">
        <f>BR523/BR601</f>
        <v>0.32575757575757575</v>
      </c>
      <c r="BT523" s="6">
        <f>86/$BT$3</f>
        <v>0.31386861313868614</v>
      </c>
      <c r="BV523">
        <v>86</v>
      </c>
      <c r="BW523" s="6">
        <f>BV523/BV601</f>
        <v>0.30069930069930068</v>
      </c>
      <c r="BX523" s="6">
        <f>86/$BX$3</f>
        <v>0.28196721311475409</v>
      </c>
      <c r="BZ523">
        <v>55</v>
      </c>
      <c r="CA523" s="6">
        <f>BZ523/BZ601</f>
        <v>0.26066350710900477</v>
      </c>
      <c r="CB523" s="8">
        <f>55/$CB$3</f>
        <v>0.24553571428571427</v>
      </c>
      <c r="CD523">
        <v>75</v>
      </c>
      <c r="CE523" s="6">
        <f>CD523/CD601</f>
        <v>0.33632286995515698</v>
      </c>
      <c r="CF523" s="6">
        <f>75/$CF$3</f>
        <v>0.31120331950207469</v>
      </c>
      <c r="CH523">
        <v>113</v>
      </c>
      <c r="CI523" s="6">
        <f>CH523/CH601</f>
        <v>0.36451612903225805</v>
      </c>
      <c r="CJ523" s="6">
        <f>113/$CJ$3</f>
        <v>0.34242424242424241</v>
      </c>
    </row>
    <row r="525" spans="1:88" x14ac:dyDescent="0.35">
      <c r="A525" s="1" t="s">
        <v>1567</v>
      </c>
      <c r="B525">
        <v>275</v>
      </c>
      <c r="C525" s="6">
        <f>B525/B601</f>
        <v>0.26699029126213591</v>
      </c>
      <c r="D525" s="6">
        <f>275/$D$3</f>
        <v>0.25</v>
      </c>
      <c r="F525">
        <v>250</v>
      </c>
      <c r="G525" s="6">
        <f>F525/F601</f>
        <v>0.28801843317972348</v>
      </c>
      <c r="H525" s="6">
        <f>250/$H$3</f>
        <v>0.27442371020856204</v>
      </c>
      <c r="J525">
        <v>133</v>
      </c>
      <c r="K525" s="6">
        <f>J525/J601</f>
        <v>0.31666666666666665</v>
      </c>
      <c r="L525" s="9">
        <f>133/$L$3</f>
        <v>0.30645161290322581</v>
      </c>
      <c r="N525">
        <v>28</v>
      </c>
      <c r="O525" s="6">
        <f>N525/N601</f>
        <v>0.36363636363636365</v>
      </c>
      <c r="P525" s="9">
        <f>28/$P$3</f>
        <v>0.34567901234567899</v>
      </c>
      <c r="R525">
        <v>138</v>
      </c>
      <c r="S525" s="6">
        <f>R525/R601</f>
        <v>0.26335877862595419</v>
      </c>
      <c r="T525" s="6">
        <f>138/$T$3</f>
        <v>0.24642857142857144</v>
      </c>
      <c r="V525">
        <v>137</v>
      </c>
      <c r="W525" s="6">
        <f>V525/V601</f>
        <v>0.27075098814229248</v>
      </c>
      <c r="X525" s="6">
        <f>137/$X$3</f>
        <v>0.25370370370370371</v>
      </c>
      <c r="Z525">
        <v>38</v>
      </c>
      <c r="AA525" s="6">
        <f>Z525/Z601</f>
        <v>0.35849056603773582</v>
      </c>
      <c r="AB525" s="9">
        <f>38/$AB$3</f>
        <v>0.33628318584070799</v>
      </c>
      <c r="AC525" s="7"/>
      <c r="AD525">
        <v>64</v>
      </c>
      <c r="AE525" s="6">
        <f>AD525/AD601</f>
        <v>0.34042553191489361</v>
      </c>
      <c r="AF525" s="9">
        <f>64/$AF$3</f>
        <v>0.32323232323232326</v>
      </c>
      <c r="AG525" s="7"/>
      <c r="AH525">
        <v>64</v>
      </c>
      <c r="AI525" s="6">
        <f>AH525/AH601</f>
        <v>0.27586206896551724</v>
      </c>
      <c r="AJ525" s="6">
        <f>64/$AJ$3</f>
        <v>0.25910931174089069</v>
      </c>
      <c r="AK525" s="7"/>
      <c r="AL525">
        <v>61</v>
      </c>
      <c r="AM525" s="6">
        <f>AL525/AL601</f>
        <v>0.27981651376146788</v>
      </c>
      <c r="AN525" s="6">
        <f>61/$AN$3</f>
        <v>0.26293103448275862</v>
      </c>
      <c r="AO525" s="7"/>
      <c r="AP525">
        <v>35</v>
      </c>
      <c r="AQ525" s="6">
        <f>AP525/AP601</f>
        <v>0.20710059171597633</v>
      </c>
      <c r="AR525" s="8">
        <f>35/$AR$3</f>
        <v>0.18817204301075269</v>
      </c>
      <c r="AT525">
        <v>13</v>
      </c>
      <c r="AU525" s="6">
        <f>AT525/AT601</f>
        <v>0.1111111111111111</v>
      </c>
      <c r="AV525" s="8">
        <f>13/$AV$3</f>
        <v>0.10483870967741936</v>
      </c>
      <c r="AX525">
        <v>111</v>
      </c>
      <c r="AY525" s="6">
        <f>AX525/AX601</f>
        <v>0.2810126582278481</v>
      </c>
      <c r="AZ525" s="6">
        <f>111/$AZ$3</f>
        <v>0.25813953488372093</v>
      </c>
      <c r="BB525">
        <v>115</v>
      </c>
      <c r="BC525" s="6">
        <f>BB525/BB601</f>
        <v>0.2839506172839506</v>
      </c>
      <c r="BD525" s="6">
        <f>115/$BD$3</f>
        <v>0.26869158878504673</v>
      </c>
      <c r="BF525">
        <v>49</v>
      </c>
      <c r="BG525" s="6">
        <f>BF525/BF601</f>
        <v>0.21304347826086956</v>
      </c>
      <c r="BH525" s="6">
        <f>49/$BH$3</f>
        <v>0.2024793388429752</v>
      </c>
      <c r="BJ525">
        <v>109</v>
      </c>
      <c r="BK525" s="6">
        <f>BJ525/BJ601</f>
        <v>0.29222520107238603</v>
      </c>
      <c r="BL525" s="6">
        <f>109/$BL$3</f>
        <v>0.27047146401985112</v>
      </c>
      <c r="BN525">
        <v>93</v>
      </c>
      <c r="BO525" s="6">
        <f>BN525/BN601</f>
        <v>0.23664122137404581</v>
      </c>
      <c r="BP525" s="6">
        <f>93/$BP$3</f>
        <v>0.21985815602836881</v>
      </c>
      <c r="BR525">
        <v>73</v>
      </c>
      <c r="BS525" s="6">
        <f>BR525/BR601</f>
        <v>0.27651515151515149</v>
      </c>
      <c r="BT525" s="6">
        <f>73/$BT$3</f>
        <v>0.26642335766423358</v>
      </c>
      <c r="BV525">
        <v>77</v>
      </c>
      <c r="BW525" s="6">
        <f>BV525/BV601</f>
        <v>0.26923076923076922</v>
      </c>
      <c r="BX525" s="6">
        <f>77/$BX$3</f>
        <v>0.25245901639344265</v>
      </c>
      <c r="BZ525">
        <v>50</v>
      </c>
      <c r="CA525" s="6">
        <f>BZ525/BZ601</f>
        <v>0.23696682464454977</v>
      </c>
      <c r="CB525" s="6">
        <f>50/$CB$3</f>
        <v>0.22321428571428573</v>
      </c>
      <c r="CD525">
        <v>67</v>
      </c>
      <c r="CE525" s="6">
        <f>CD525/CD601</f>
        <v>0.30044843049327352</v>
      </c>
      <c r="CF525" s="6">
        <f>67/$CF$3</f>
        <v>0.27800829875518673</v>
      </c>
      <c r="CH525">
        <v>81</v>
      </c>
      <c r="CI525" s="6">
        <f>CH525/CH601</f>
        <v>0.26129032258064516</v>
      </c>
      <c r="CJ525" s="6">
        <f>81/$CJ$3</f>
        <v>0.24545454545454545</v>
      </c>
    </row>
    <row r="526" spans="1:88" x14ac:dyDescent="0.35">
      <c r="A526" s="1" t="s">
        <v>1568</v>
      </c>
      <c r="B526">
        <v>70</v>
      </c>
      <c r="C526" s="6">
        <f>B526/B601</f>
        <v>6.7961165048543687E-2</v>
      </c>
      <c r="D526" s="6">
        <f>70/$D$3</f>
        <v>6.363636363636363E-2</v>
      </c>
      <c r="F526">
        <v>65</v>
      </c>
      <c r="G526" s="6">
        <f>F526/F601</f>
        <v>7.4884792626728106E-2</v>
      </c>
      <c r="H526" s="6">
        <f>65/$H$3</f>
        <v>7.1350164654226125E-2</v>
      </c>
      <c r="J526">
        <v>34</v>
      </c>
      <c r="K526" s="6">
        <f>J526/J601</f>
        <v>8.0952380952380956E-2</v>
      </c>
      <c r="L526" s="6">
        <f>34/$L$3</f>
        <v>7.8341013824884786E-2</v>
      </c>
      <c r="N526">
        <v>4</v>
      </c>
      <c r="O526" s="6">
        <f>N526/N601</f>
        <v>5.1948051948051951E-2</v>
      </c>
      <c r="P526" s="6">
        <f>4/$P$3</f>
        <v>4.9382716049382713E-2</v>
      </c>
      <c r="R526">
        <v>34</v>
      </c>
      <c r="S526" s="6">
        <f>R526/R601</f>
        <v>6.4885496183206104E-2</v>
      </c>
      <c r="T526" s="6">
        <f>34/$T$3</f>
        <v>6.0714285714285714E-2</v>
      </c>
      <c r="V526">
        <v>36</v>
      </c>
      <c r="W526" s="6">
        <f>V526/V601</f>
        <v>7.1146245059288543E-2</v>
      </c>
      <c r="X526" s="6">
        <f>36/$X$3</f>
        <v>6.6666666666666666E-2</v>
      </c>
      <c r="Z526">
        <v>3</v>
      </c>
      <c r="AA526" s="6">
        <f>Z526/Z601</f>
        <v>2.8301886792452831E-2</v>
      </c>
      <c r="AB526" s="6">
        <f>3/$AB$3</f>
        <v>2.6548672566371681E-2</v>
      </c>
      <c r="AD526">
        <v>9</v>
      </c>
      <c r="AE526" s="6">
        <f>AD526/AD601</f>
        <v>4.7872340425531915E-2</v>
      </c>
      <c r="AF526" s="6">
        <f>9/$AF$3</f>
        <v>4.5454545454545456E-2</v>
      </c>
      <c r="AH526">
        <v>20</v>
      </c>
      <c r="AI526" s="6">
        <f>AH526/AH601</f>
        <v>8.6206896551724144E-2</v>
      </c>
      <c r="AJ526" s="6">
        <f>20/$AJ$3</f>
        <v>8.0971659919028341E-2</v>
      </c>
      <c r="AL526">
        <v>11</v>
      </c>
      <c r="AM526" s="6">
        <f>AL526/AL601</f>
        <v>5.0458715596330278E-2</v>
      </c>
      <c r="AN526" s="6">
        <f>11/$AN$3</f>
        <v>4.7413793103448273E-2</v>
      </c>
      <c r="AP526">
        <v>13</v>
      </c>
      <c r="AQ526" s="6">
        <f>AP526/AP601</f>
        <v>7.6923076923076927E-2</v>
      </c>
      <c r="AR526" s="6">
        <f>13/$AR$3</f>
        <v>6.9892473118279563E-2</v>
      </c>
      <c r="AT526">
        <v>14</v>
      </c>
      <c r="AU526" s="6">
        <f>AT526/AT601</f>
        <v>0.11965811965811966</v>
      </c>
      <c r="AV526" s="6">
        <f>14/$AV$3</f>
        <v>0.11290322580645161</v>
      </c>
      <c r="AX526">
        <v>31</v>
      </c>
      <c r="AY526" s="6">
        <f>AX526/AX601</f>
        <v>7.848101265822785E-2</v>
      </c>
      <c r="AZ526" s="6">
        <f>31/$AZ$3</f>
        <v>7.2093023255813959E-2</v>
      </c>
      <c r="BB526">
        <v>25</v>
      </c>
      <c r="BC526" s="6">
        <f>BB526/BB601</f>
        <v>6.1728395061728392E-2</v>
      </c>
      <c r="BD526" s="6">
        <f>25/$BD$3</f>
        <v>5.8411214953271028E-2</v>
      </c>
      <c r="BF526">
        <v>14</v>
      </c>
      <c r="BG526" s="6">
        <f>BF526/BF601</f>
        <v>6.0869565217391307E-2</v>
      </c>
      <c r="BH526" s="6">
        <f>14/$BH$3</f>
        <v>5.7851239669421489E-2</v>
      </c>
      <c r="BJ526">
        <v>23</v>
      </c>
      <c r="BK526" s="6">
        <f>BJ526/BJ601</f>
        <v>6.1662198391420911E-2</v>
      </c>
      <c r="BL526" s="6">
        <f>23/$BL$3</f>
        <v>5.7071960297766747E-2</v>
      </c>
      <c r="BN526">
        <v>31</v>
      </c>
      <c r="BO526" s="6">
        <f>BN526/BN601</f>
        <v>7.8880407124681931E-2</v>
      </c>
      <c r="BP526" s="6">
        <f>31/$BP$3</f>
        <v>7.328605200945626E-2</v>
      </c>
      <c r="BR526">
        <v>16</v>
      </c>
      <c r="BS526" s="6">
        <f>BR526/BR601</f>
        <v>6.0606060606060608E-2</v>
      </c>
      <c r="BT526" s="6">
        <f>16/$BT$3</f>
        <v>5.8394160583941604E-2</v>
      </c>
      <c r="BV526">
        <v>17</v>
      </c>
      <c r="BW526" s="6">
        <f>BV526/BV601</f>
        <v>5.944055944055944E-2</v>
      </c>
      <c r="BX526" s="6">
        <f>17/$BX$3</f>
        <v>5.5737704918032788E-2</v>
      </c>
      <c r="BZ526">
        <v>18</v>
      </c>
      <c r="CA526" s="6">
        <f>BZ526/BZ601</f>
        <v>8.5308056872037921E-2</v>
      </c>
      <c r="CB526" s="6">
        <f>18/$CB$3</f>
        <v>8.0357142857142863E-2</v>
      </c>
      <c r="CD526">
        <v>18</v>
      </c>
      <c r="CE526" s="6">
        <f>CD526/CD601</f>
        <v>8.0717488789237665E-2</v>
      </c>
      <c r="CF526" s="6">
        <f>18/$CF$3</f>
        <v>7.4688796680497924E-2</v>
      </c>
      <c r="CH526">
        <v>17</v>
      </c>
      <c r="CI526" s="6">
        <f>CH526/CH601</f>
        <v>5.4838709677419356E-2</v>
      </c>
      <c r="CJ526" s="6">
        <f>17/$CJ$3</f>
        <v>5.1515151515151514E-2</v>
      </c>
    </row>
    <row r="527" spans="1:88" x14ac:dyDescent="0.35">
      <c r="A527" s="1" t="s">
        <v>1569</v>
      </c>
      <c r="B527">
        <v>30</v>
      </c>
      <c r="C527" s="6">
        <f>B527/B601</f>
        <v>2.9126213592233011E-2</v>
      </c>
      <c r="D527" s="6">
        <f>30/$D$3</f>
        <v>2.7272727272727271E-2</v>
      </c>
      <c r="F527">
        <v>29</v>
      </c>
      <c r="G527" s="6">
        <f>F527/F601</f>
        <v>3.3410138248847927E-2</v>
      </c>
      <c r="H527" s="6">
        <f>29/$H$3</f>
        <v>3.1833150384193196E-2</v>
      </c>
      <c r="J527">
        <v>11</v>
      </c>
      <c r="K527" s="6">
        <f>J527/J601</f>
        <v>2.6190476190476191E-2</v>
      </c>
      <c r="L527" s="6">
        <f>11/$L$3</f>
        <v>2.5345622119815669E-2</v>
      </c>
      <c r="N527">
        <v>1</v>
      </c>
      <c r="O527" s="6">
        <f>N527/N601</f>
        <v>1.2987012987012988E-2</v>
      </c>
      <c r="P527" s="6">
        <f>1/$P$3</f>
        <v>1.2345679012345678E-2</v>
      </c>
      <c r="R527">
        <v>11</v>
      </c>
      <c r="S527" s="6">
        <f>R527/R601</f>
        <v>2.0992366412213741E-2</v>
      </c>
      <c r="T527" s="6">
        <f>11/$T$3</f>
        <v>1.9642857142857142E-2</v>
      </c>
      <c r="V527">
        <v>19</v>
      </c>
      <c r="W527" s="6">
        <f>V527/V601</f>
        <v>3.7549407114624504E-2</v>
      </c>
      <c r="X527" s="6">
        <f>19/$X$3</f>
        <v>3.5185185185185187E-2</v>
      </c>
      <c r="Z527">
        <v>2</v>
      </c>
      <c r="AA527" s="6">
        <f>Z527/Z601</f>
        <v>1.8867924528301886E-2</v>
      </c>
      <c r="AB527" s="6">
        <f>2/$AB$3</f>
        <v>1.7699115044247787E-2</v>
      </c>
      <c r="AD527">
        <v>6</v>
      </c>
      <c r="AE527" s="6">
        <f>AD527/AD601</f>
        <v>3.1914893617021274E-2</v>
      </c>
      <c r="AF527" s="6">
        <f>6/$AF$3</f>
        <v>3.0303030303030304E-2</v>
      </c>
      <c r="AH527">
        <v>5</v>
      </c>
      <c r="AI527" s="6">
        <f>AH527/AH601</f>
        <v>2.1551724137931036E-2</v>
      </c>
      <c r="AJ527" s="6">
        <f>5/$AJ$3</f>
        <v>2.0242914979757085E-2</v>
      </c>
      <c r="AL527">
        <v>7</v>
      </c>
      <c r="AM527" s="6">
        <f>AL527/AL601</f>
        <v>3.2110091743119268E-2</v>
      </c>
      <c r="AN527" s="6">
        <f>7/$AN$3</f>
        <v>3.017241379310345E-2</v>
      </c>
      <c r="AP527">
        <v>7</v>
      </c>
      <c r="AQ527" s="6">
        <f>AP527/AP601</f>
        <v>4.142011834319527E-2</v>
      </c>
      <c r="AR527" s="6">
        <f>7/$AR$3</f>
        <v>3.7634408602150539E-2</v>
      </c>
      <c r="AT527">
        <v>3</v>
      </c>
      <c r="AU527" s="6">
        <f>AT527/AT601</f>
        <v>2.564102564102564E-2</v>
      </c>
      <c r="AV527" s="6">
        <f>3/$AV$3</f>
        <v>2.4193548387096774E-2</v>
      </c>
      <c r="AX527">
        <v>13</v>
      </c>
      <c r="AY527" s="6">
        <f>AX527/AX601</f>
        <v>3.2911392405063293E-2</v>
      </c>
      <c r="AZ527" s="6">
        <f>13/$AZ$3</f>
        <v>3.0232558139534883E-2</v>
      </c>
      <c r="BB527">
        <v>11</v>
      </c>
      <c r="BC527" s="6">
        <f>BB527/BB601</f>
        <v>2.7160493827160494E-2</v>
      </c>
      <c r="BD527" s="6">
        <f>11/$BD$3</f>
        <v>2.5700934579439252E-2</v>
      </c>
      <c r="BF527">
        <v>6</v>
      </c>
      <c r="BG527" s="6">
        <f>BF527/BF601</f>
        <v>2.6086956521739129E-2</v>
      </c>
      <c r="BH527" s="6">
        <f>6/$BH$3</f>
        <v>2.4793388429752067E-2</v>
      </c>
      <c r="BJ527">
        <v>15</v>
      </c>
      <c r="BK527" s="6">
        <f>BJ527/BJ601</f>
        <v>4.0214477211796246E-2</v>
      </c>
      <c r="BL527" s="6">
        <f>15/$BL$3</f>
        <v>3.7220843672456573E-2</v>
      </c>
      <c r="BN527">
        <v>11</v>
      </c>
      <c r="BO527" s="6">
        <f>BN527/BN601</f>
        <v>2.7989821882951654E-2</v>
      </c>
      <c r="BP527" s="6">
        <f>11/$BP$3</f>
        <v>2.6004728132387706E-2</v>
      </c>
      <c r="BR527">
        <v>4</v>
      </c>
      <c r="BS527" s="6">
        <f>BR527/BR601</f>
        <v>1.5151515151515152E-2</v>
      </c>
      <c r="BT527" s="6">
        <f>4/$BT$3</f>
        <v>1.4598540145985401E-2</v>
      </c>
      <c r="BV527">
        <v>8</v>
      </c>
      <c r="BW527" s="6">
        <f>BV527/BV601</f>
        <v>2.7972027972027972E-2</v>
      </c>
      <c r="BX527" s="6">
        <f>8/$BX$3</f>
        <v>2.6229508196721311E-2</v>
      </c>
      <c r="BZ527">
        <v>6</v>
      </c>
      <c r="CA527" s="6">
        <f>BZ527/BZ601</f>
        <v>2.843601895734597E-2</v>
      </c>
      <c r="CB527" s="6">
        <f>6/$CB$3</f>
        <v>2.6785714285714284E-2</v>
      </c>
      <c r="CD527">
        <v>7</v>
      </c>
      <c r="CE527" s="6">
        <f>CD527/CD601</f>
        <v>3.1390134529147982E-2</v>
      </c>
      <c r="CF527" s="6">
        <f>7/$CF$3</f>
        <v>2.9045643153526972E-2</v>
      </c>
      <c r="CH527">
        <v>9</v>
      </c>
      <c r="CI527" s="6">
        <f>CH527/CH601</f>
        <v>2.903225806451613E-2</v>
      </c>
      <c r="CJ527" s="6">
        <f>9/$CJ$3</f>
        <v>2.7272727272727271E-2</v>
      </c>
    </row>
    <row r="528" spans="1:88" x14ac:dyDescent="0.35">
      <c r="A528" s="1" t="s">
        <v>1570</v>
      </c>
      <c r="B528">
        <v>75</v>
      </c>
      <c r="C528" s="6">
        <f>B528/B601</f>
        <v>7.281553398058252E-2</v>
      </c>
      <c r="D528" s="6">
        <f>75/$D$3</f>
        <v>6.8181818181818177E-2</v>
      </c>
      <c r="F528">
        <v>67</v>
      </c>
      <c r="G528" s="6">
        <f>F528/F601</f>
        <v>7.7188940092165897E-2</v>
      </c>
      <c r="H528" s="6">
        <f>67/$H$3</f>
        <v>7.3545554335894617E-2</v>
      </c>
      <c r="J528">
        <v>35</v>
      </c>
      <c r="K528" s="6">
        <f>J528/J601</f>
        <v>8.3333333333333329E-2</v>
      </c>
      <c r="L528" s="6">
        <f>35/$L$3</f>
        <v>8.0645161290322578E-2</v>
      </c>
      <c r="N528">
        <v>6</v>
      </c>
      <c r="O528" s="6">
        <f>N528/N601</f>
        <v>7.792207792207792E-2</v>
      </c>
      <c r="P528" s="6">
        <f>6/$P$3</f>
        <v>7.407407407407407E-2</v>
      </c>
      <c r="R528">
        <v>39</v>
      </c>
      <c r="S528" s="6">
        <f>R528/R601</f>
        <v>7.4427480916030533E-2</v>
      </c>
      <c r="T528" s="6">
        <f>39/$T$3</f>
        <v>6.9642857142857145E-2</v>
      </c>
      <c r="V528">
        <v>36</v>
      </c>
      <c r="W528" s="6">
        <f>V528/V601</f>
        <v>7.1146245059288543E-2</v>
      </c>
      <c r="X528" s="6">
        <f>36/$X$3</f>
        <v>6.6666666666666666E-2</v>
      </c>
      <c r="Z528">
        <v>9</v>
      </c>
      <c r="AA528" s="6">
        <f>Z528/Z601</f>
        <v>8.4905660377358486E-2</v>
      </c>
      <c r="AB528" s="6">
        <f>9/$AB$3</f>
        <v>7.9646017699115043E-2</v>
      </c>
      <c r="AD528">
        <v>15</v>
      </c>
      <c r="AE528" s="6">
        <f>AD528/AD601</f>
        <v>7.9787234042553196E-2</v>
      </c>
      <c r="AF528" s="6">
        <f>15/$AF$3</f>
        <v>7.575757575757576E-2</v>
      </c>
      <c r="AH528">
        <v>17</v>
      </c>
      <c r="AI528" s="6">
        <f>AH528/AH601</f>
        <v>7.3275862068965511E-2</v>
      </c>
      <c r="AJ528" s="6">
        <f>17/$AJ$3</f>
        <v>6.8825910931174086E-2</v>
      </c>
      <c r="AL528">
        <v>16</v>
      </c>
      <c r="AM528" s="6">
        <f>AL528/AL601</f>
        <v>7.3394495412844041E-2</v>
      </c>
      <c r="AN528" s="6">
        <f>16/$AN$3</f>
        <v>6.8965517241379309E-2</v>
      </c>
      <c r="AP528">
        <v>11</v>
      </c>
      <c r="AQ528" s="6">
        <f>AP528/AP601</f>
        <v>6.5088757396449703E-2</v>
      </c>
      <c r="AR528" s="6">
        <f>11/$AR$3</f>
        <v>5.9139784946236562E-2</v>
      </c>
      <c r="AT528">
        <v>7</v>
      </c>
      <c r="AU528" s="6">
        <f>AT528/AT601</f>
        <v>5.9829059829059832E-2</v>
      </c>
      <c r="AV528" s="6">
        <f>7/$AV$3</f>
        <v>5.6451612903225805E-2</v>
      </c>
      <c r="AX528">
        <v>31</v>
      </c>
      <c r="AY528" s="6">
        <f>AX528/AX601</f>
        <v>7.848101265822785E-2</v>
      </c>
      <c r="AZ528" s="6">
        <f>31/$AZ$3</f>
        <v>7.2093023255813959E-2</v>
      </c>
      <c r="BB528">
        <v>30</v>
      </c>
      <c r="BC528" s="6">
        <f>BB528/BB601</f>
        <v>7.407407407407407E-2</v>
      </c>
      <c r="BD528" s="6">
        <f>30/$BD$3</f>
        <v>7.0093457943925228E-2</v>
      </c>
      <c r="BF528">
        <v>14</v>
      </c>
      <c r="BG528" s="6">
        <f>BF528/BF601</f>
        <v>6.0869565217391307E-2</v>
      </c>
      <c r="BH528" s="6">
        <f>14/$BH$3</f>
        <v>5.7851239669421489E-2</v>
      </c>
      <c r="BJ528">
        <v>28</v>
      </c>
      <c r="BK528" s="6">
        <f>BJ528/BJ601</f>
        <v>7.5067024128686322E-2</v>
      </c>
      <c r="BL528" s="6">
        <f>28/$BL$3</f>
        <v>6.9478908188585611E-2</v>
      </c>
      <c r="BN528">
        <v>28</v>
      </c>
      <c r="BO528" s="6">
        <f>BN528/BN601</f>
        <v>7.124681933842239E-2</v>
      </c>
      <c r="BP528" s="6">
        <f>28/$BP$3</f>
        <v>6.6193853427895979E-2</v>
      </c>
      <c r="BR528">
        <v>19</v>
      </c>
      <c r="BS528" s="6">
        <f>BR528/BR601</f>
        <v>7.1969696969696975E-2</v>
      </c>
      <c r="BT528" s="6">
        <f>19/$BT$3</f>
        <v>6.9343065693430656E-2</v>
      </c>
      <c r="BV528">
        <v>22</v>
      </c>
      <c r="BW528" s="6">
        <f>BV528/BV601</f>
        <v>7.6923076923076927E-2</v>
      </c>
      <c r="BX528" s="6">
        <f>22/$BX$3</f>
        <v>7.2131147540983612E-2</v>
      </c>
      <c r="BZ528">
        <v>17</v>
      </c>
      <c r="CA528" s="6">
        <f>BZ528/BZ601</f>
        <v>8.0568720379146919E-2</v>
      </c>
      <c r="CB528" s="6">
        <f>17/$CB$3</f>
        <v>7.5892857142857137E-2</v>
      </c>
      <c r="CD528">
        <v>15</v>
      </c>
      <c r="CE528" s="6">
        <f>CD528/CD601</f>
        <v>6.726457399103139E-2</v>
      </c>
      <c r="CF528" s="6">
        <f>15/$CF$3</f>
        <v>6.2240663900414939E-2</v>
      </c>
      <c r="CH528">
        <v>21</v>
      </c>
      <c r="CI528" s="6">
        <f>CH528/CH601</f>
        <v>6.7741935483870974E-2</v>
      </c>
      <c r="CJ528" s="6">
        <f>21/$CJ$3</f>
        <v>6.363636363636363E-2</v>
      </c>
    </row>
    <row r="529" spans="1:88" x14ac:dyDescent="0.35">
      <c r="A529" s="1" t="s">
        <v>1571</v>
      </c>
      <c r="B529">
        <v>61</v>
      </c>
      <c r="C529" s="6">
        <f>B529/B601</f>
        <v>5.9223300970873784E-2</v>
      </c>
      <c r="D529" s="6">
        <f>61/$D$3</f>
        <v>5.5454545454545458E-2</v>
      </c>
      <c r="F529">
        <v>56</v>
      </c>
      <c r="G529" s="6">
        <f>F529/F601</f>
        <v>6.4516129032258063E-2</v>
      </c>
      <c r="H529" s="6">
        <f>56/$H$3</f>
        <v>6.1470911086717893E-2</v>
      </c>
      <c r="J529">
        <v>39</v>
      </c>
      <c r="K529" s="6">
        <f>J529/J601</f>
        <v>9.285714285714286E-2</v>
      </c>
      <c r="L529" s="6">
        <f>39/$L$3</f>
        <v>8.9861751152073732E-2</v>
      </c>
      <c r="N529">
        <v>7</v>
      </c>
      <c r="O529" s="6">
        <f>N529/N601</f>
        <v>9.0909090909090912E-2</v>
      </c>
      <c r="P529" s="6">
        <f>7/$P$3</f>
        <v>8.6419753086419748E-2</v>
      </c>
      <c r="R529">
        <v>36</v>
      </c>
      <c r="S529" s="6">
        <f>R529/R601</f>
        <v>6.8702290076335881E-2</v>
      </c>
      <c r="T529" s="6">
        <f>36/$T$3</f>
        <v>6.4285714285714279E-2</v>
      </c>
      <c r="V529">
        <v>25</v>
      </c>
      <c r="W529" s="6">
        <f>V529/V601</f>
        <v>4.9407114624505928E-2</v>
      </c>
      <c r="X529" s="6">
        <f>25/$X$3</f>
        <v>4.6296296296296294E-2</v>
      </c>
      <c r="Z529">
        <v>13</v>
      </c>
      <c r="AA529" s="6">
        <f>Z529/Z601</f>
        <v>0.12264150943396226</v>
      </c>
      <c r="AB529" s="6">
        <f>13/$AB$3</f>
        <v>0.11504424778761062</v>
      </c>
      <c r="AC529" s="7"/>
      <c r="AD529">
        <v>12</v>
      </c>
      <c r="AE529" s="6">
        <f>AD529/AD601</f>
        <v>6.3829787234042548E-2</v>
      </c>
      <c r="AF529" s="6">
        <f>12/$AF$3</f>
        <v>6.0606060606060608E-2</v>
      </c>
      <c r="AH529">
        <v>17</v>
      </c>
      <c r="AI529" s="6">
        <f>AH529/AH601</f>
        <v>7.3275862068965511E-2</v>
      </c>
      <c r="AJ529" s="6">
        <f>17/$AJ$3</f>
        <v>6.8825910931174086E-2</v>
      </c>
      <c r="AL529">
        <v>10</v>
      </c>
      <c r="AM529" s="6">
        <f>AL529/AL601</f>
        <v>4.5871559633027525E-2</v>
      </c>
      <c r="AN529" s="6">
        <f>10/$AN$3</f>
        <v>4.3103448275862072E-2</v>
      </c>
      <c r="AP529">
        <v>6</v>
      </c>
      <c r="AQ529" s="6">
        <f>AP529/AP601</f>
        <v>3.5502958579881658E-2</v>
      </c>
      <c r="AR529" s="6">
        <f>6/$AR$3</f>
        <v>3.2258064516129031E-2</v>
      </c>
      <c r="AT529">
        <v>3</v>
      </c>
      <c r="AU529" s="6">
        <f>AT529/AT601</f>
        <v>2.564102564102564E-2</v>
      </c>
      <c r="AV529" s="6">
        <f>3/$AV$3</f>
        <v>2.4193548387096774E-2</v>
      </c>
      <c r="AX529">
        <v>24</v>
      </c>
      <c r="AY529" s="6">
        <f>AX529/AX601</f>
        <v>6.0759493670886074E-2</v>
      </c>
      <c r="AZ529" s="6">
        <f>24/$AZ$3</f>
        <v>5.5813953488372092E-2</v>
      </c>
      <c r="BB529">
        <v>20</v>
      </c>
      <c r="BC529" s="6">
        <f>BB529/BB601</f>
        <v>4.9382716049382713E-2</v>
      </c>
      <c r="BD529" s="6">
        <f>20/$BD$3</f>
        <v>4.6728971962616821E-2</v>
      </c>
      <c r="BF529">
        <v>17</v>
      </c>
      <c r="BG529" s="6">
        <f>BF529/BF601</f>
        <v>7.3913043478260873E-2</v>
      </c>
      <c r="BH529" s="6">
        <f>17/$BH$3</f>
        <v>7.0247933884297523E-2</v>
      </c>
      <c r="BJ529">
        <v>21</v>
      </c>
      <c r="BK529" s="6">
        <f>BJ529/BJ601</f>
        <v>5.6300268096514748E-2</v>
      </c>
      <c r="BL529" s="6">
        <f>21/$BL$3</f>
        <v>5.2109181141439205E-2</v>
      </c>
      <c r="BN529">
        <v>24</v>
      </c>
      <c r="BO529" s="6">
        <f>BN529/BN601</f>
        <v>6.1068702290076333E-2</v>
      </c>
      <c r="BP529" s="6">
        <f>24/$BP$3</f>
        <v>5.6737588652482268E-2</v>
      </c>
      <c r="BR529">
        <v>16</v>
      </c>
      <c r="BS529" s="6">
        <f>BR529/BR601</f>
        <v>6.0606060606060608E-2</v>
      </c>
      <c r="BT529" s="6">
        <f>16/$BT$3</f>
        <v>5.8394160583941604E-2</v>
      </c>
      <c r="BV529">
        <v>20</v>
      </c>
      <c r="BW529" s="6">
        <f>BV529/BV601</f>
        <v>6.9930069930069935E-2</v>
      </c>
      <c r="BX529" s="6">
        <f>20/$BX$3</f>
        <v>6.5573770491803282E-2</v>
      </c>
      <c r="BZ529">
        <v>15</v>
      </c>
      <c r="CA529" s="6">
        <f>BZ529/BZ601</f>
        <v>7.1090047393364927E-2</v>
      </c>
      <c r="CB529" s="6">
        <f>15/$CB$3</f>
        <v>6.6964285714285712E-2</v>
      </c>
      <c r="CD529">
        <v>10</v>
      </c>
      <c r="CE529" s="6">
        <f>CD529/CD601</f>
        <v>4.4843049327354258E-2</v>
      </c>
      <c r="CF529" s="6">
        <f>10/$CF$3</f>
        <v>4.1493775933609957E-2</v>
      </c>
      <c r="CH529">
        <v>16</v>
      </c>
      <c r="CI529" s="6">
        <f>CH529/CH601</f>
        <v>5.1612903225806452E-2</v>
      </c>
      <c r="CJ529" s="6">
        <f>16/$CJ$3</f>
        <v>4.8484848484848485E-2</v>
      </c>
    </row>
    <row r="530" spans="1:88" x14ac:dyDescent="0.35">
      <c r="A530" s="1" t="s">
        <v>1572</v>
      </c>
      <c r="B530">
        <v>519</v>
      </c>
      <c r="C530" s="6">
        <f>B530/B601</f>
        <v>0.50388349514563102</v>
      </c>
      <c r="D530" s="6">
        <f>519/$D$3</f>
        <v>0.4718181818181818</v>
      </c>
      <c r="F530">
        <v>401</v>
      </c>
      <c r="G530" s="6">
        <f>F530/F601</f>
        <v>0.46198156682027652</v>
      </c>
      <c r="H530" s="6">
        <f>401/$H$3</f>
        <v>0.44017563117453345</v>
      </c>
      <c r="J530">
        <v>168</v>
      </c>
      <c r="K530" s="6">
        <f>J530/J601</f>
        <v>0.4</v>
      </c>
      <c r="L530" s="8">
        <f>168/$L$3</f>
        <v>0.38709677419354838</v>
      </c>
      <c r="N530">
        <v>31</v>
      </c>
      <c r="O530" s="6">
        <f>N530/N601</f>
        <v>0.40259740259740262</v>
      </c>
      <c r="P530" s="6">
        <f>31/$P$3</f>
        <v>0.38271604938271603</v>
      </c>
      <c r="R530">
        <v>266</v>
      </c>
      <c r="S530" s="6">
        <f>R530/R601</f>
        <v>0.50763358778625955</v>
      </c>
      <c r="T530" s="6">
        <f>266/$T$3</f>
        <v>0.47499999999999998</v>
      </c>
      <c r="V530">
        <v>253</v>
      </c>
      <c r="W530" s="6">
        <f>V530/V601</f>
        <v>0.5</v>
      </c>
      <c r="X530" s="6">
        <f>253/$X$3</f>
        <v>0.4685185185185185</v>
      </c>
      <c r="Z530">
        <v>41</v>
      </c>
      <c r="AA530" s="6">
        <f>Z530/Z601</f>
        <v>0.3867924528301887</v>
      </c>
      <c r="AB530" s="8">
        <f>41/$AB$3</f>
        <v>0.36283185840707965</v>
      </c>
      <c r="AD530">
        <v>82</v>
      </c>
      <c r="AE530" s="6">
        <f>AD530/AD601</f>
        <v>0.43617021276595747</v>
      </c>
      <c r="AF530" s="6">
        <f>82/$AF$3</f>
        <v>0.41414141414141414</v>
      </c>
      <c r="AH530">
        <v>109</v>
      </c>
      <c r="AI530" s="6">
        <f>AH530/AH601</f>
        <v>0.46982758620689657</v>
      </c>
      <c r="AJ530" s="6">
        <f>109/$AJ$3</f>
        <v>0.44129554655870445</v>
      </c>
      <c r="AL530">
        <v>113</v>
      </c>
      <c r="AM530" s="6">
        <f>AL530/AL601</f>
        <v>0.51834862385321101</v>
      </c>
      <c r="AN530" s="6">
        <f>113/$AN$3</f>
        <v>0.48706896551724138</v>
      </c>
      <c r="AP530">
        <v>97</v>
      </c>
      <c r="AQ530" s="6">
        <f>AP530/AP601</f>
        <v>0.57396449704142016</v>
      </c>
      <c r="AR530" s="6">
        <f>97/$AR$3</f>
        <v>0.521505376344086</v>
      </c>
      <c r="AT530">
        <v>77</v>
      </c>
      <c r="AU530" s="6">
        <f>AT530/AT601</f>
        <v>0.65811965811965811</v>
      </c>
      <c r="AV530" s="9">
        <f>77/$AV$3</f>
        <v>0.62096774193548387</v>
      </c>
      <c r="AW530" s="7"/>
      <c r="AX530">
        <v>185</v>
      </c>
      <c r="AY530" s="6">
        <f>AX530/AX601</f>
        <v>0.46835443037974683</v>
      </c>
      <c r="AZ530" s="6">
        <f>185/$AZ$3</f>
        <v>0.43023255813953487</v>
      </c>
      <c r="BB530">
        <v>204</v>
      </c>
      <c r="BC530" s="6">
        <f>BB530/BB601</f>
        <v>0.50370370370370365</v>
      </c>
      <c r="BD530" s="6">
        <f>204/$BD$3</f>
        <v>0.47663551401869159</v>
      </c>
      <c r="BF530">
        <v>130</v>
      </c>
      <c r="BG530" s="6">
        <f>BF530/BF601</f>
        <v>0.56521739130434778</v>
      </c>
      <c r="BH530" s="9">
        <f>130/$BH$3</f>
        <v>0.53719008264462809</v>
      </c>
      <c r="BJ530">
        <v>177</v>
      </c>
      <c r="BK530" s="6">
        <f>BJ530/BJ601</f>
        <v>0.47453083109919569</v>
      </c>
      <c r="BL530" s="6">
        <f>177/$BL$3</f>
        <v>0.43920595533498757</v>
      </c>
      <c r="BN530">
        <v>206</v>
      </c>
      <c r="BO530" s="6">
        <f>BN530/BN601</f>
        <v>0.5241730279898219</v>
      </c>
      <c r="BP530" s="6">
        <f>206/$BP$3</f>
        <v>0.48699763593380613</v>
      </c>
      <c r="BR530">
        <v>136</v>
      </c>
      <c r="BS530" s="6">
        <f>BR530/BR601</f>
        <v>0.51515151515151514</v>
      </c>
      <c r="BT530" s="6">
        <f>136/$BT$3</f>
        <v>0.49635036496350365</v>
      </c>
      <c r="BV530">
        <v>142</v>
      </c>
      <c r="BW530" s="6">
        <f>BV530/BV601</f>
        <v>0.49650349650349651</v>
      </c>
      <c r="BX530" s="6">
        <f>142/$BX$3</f>
        <v>0.46557377049180326</v>
      </c>
      <c r="BZ530">
        <v>105</v>
      </c>
      <c r="CA530" s="6">
        <f>BZ530/BZ601</f>
        <v>0.49763033175355448</v>
      </c>
      <c r="CB530" s="6">
        <f>105/$CB$3</f>
        <v>0.46875</v>
      </c>
      <c r="CD530">
        <v>106</v>
      </c>
      <c r="CE530" s="6">
        <f>CD530/CD601</f>
        <v>0.47533632286995514</v>
      </c>
      <c r="CF530" s="6">
        <f>106/$CF$3</f>
        <v>0.43983402489626555</v>
      </c>
      <c r="CH530">
        <v>166</v>
      </c>
      <c r="CI530" s="6">
        <f>CH530/CH601</f>
        <v>0.53548387096774197</v>
      </c>
      <c r="CJ530" s="6">
        <f>166/$CJ$3</f>
        <v>0.50303030303030305</v>
      </c>
    </row>
    <row r="532" spans="1:88" x14ac:dyDescent="0.35">
      <c r="A532" s="1" t="s">
        <v>1573</v>
      </c>
      <c r="B532">
        <v>250</v>
      </c>
      <c r="C532" s="6">
        <f>B532/B601</f>
        <v>0.24271844660194175</v>
      </c>
      <c r="D532" s="6">
        <f>250/$D$3</f>
        <v>0.22727272727272727</v>
      </c>
      <c r="F532">
        <v>222</v>
      </c>
      <c r="G532" s="6">
        <f>F532/F601</f>
        <v>0.25576036866359447</v>
      </c>
      <c r="H532" s="6">
        <f>222/$H$3</f>
        <v>0.24368825466520308</v>
      </c>
      <c r="J532">
        <v>112</v>
      </c>
      <c r="K532" s="6">
        <f>J532/J601</f>
        <v>0.26666666666666666</v>
      </c>
      <c r="L532" s="6">
        <f>112/$L$3</f>
        <v>0.25806451612903225</v>
      </c>
      <c r="N532">
        <v>24</v>
      </c>
      <c r="O532" s="6">
        <f>N532/N601</f>
        <v>0.31168831168831168</v>
      </c>
      <c r="P532" s="6">
        <f>24/$P$3</f>
        <v>0.29629629629629628</v>
      </c>
      <c r="R532">
        <v>117</v>
      </c>
      <c r="S532" s="6">
        <f>R532/R601</f>
        <v>0.22328244274809161</v>
      </c>
      <c r="T532" s="6">
        <f>117/$T$3</f>
        <v>0.20892857142857144</v>
      </c>
      <c r="V532">
        <v>133</v>
      </c>
      <c r="W532" s="6">
        <f>V532/V601</f>
        <v>0.26284584980237152</v>
      </c>
      <c r="X532" s="6">
        <f>133/$X$3</f>
        <v>0.24629629629629629</v>
      </c>
      <c r="Z532">
        <v>30</v>
      </c>
      <c r="AA532" s="6">
        <f>Z532/Z601</f>
        <v>0.28301886792452829</v>
      </c>
      <c r="AB532" s="6">
        <f>30/$AB$3</f>
        <v>0.26548672566371684</v>
      </c>
      <c r="AD532">
        <v>52</v>
      </c>
      <c r="AE532" s="6">
        <f>AD532/AD601</f>
        <v>0.27659574468085107</v>
      </c>
      <c r="AF532" s="6">
        <f>52/$AF$3</f>
        <v>0.26262626262626265</v>
      </c>
      <c r="AH532">
        <v>55</v>
      </c>
      <c r="AI532" s="6">
        <f>AH532/AH601</f>
        <v>0.23706896551724138</v>
      </c>
      <c r="AJ532" s="6">
        <f>55/$AJ$3</f>
        <v>0.22267206477732793</v>
      </c>
      <c r="AL532">
        <v>53</v>
      </c>
      <c r="AM532" s="6">
        <f>AL532/AL601</f>
        <v>0.24311926605504589</v>
      </c>
      <c r="AN532" s="6">
        <f>53/$AN$3</f>
        <v>0.22844827586206898</v>
      </c>
      <c r="AP532">
        <v>40</v>
      </c>
      <c r="AQ532" s="6">
        <f>AP532/AP601</f>
        <v>0.23668639053254437</v>
      </c>
      <c r="AR532" s="6">
        <f>40/$AR$3</f>
        <v>0.21505376344086022</v>
      </c>
      <c r="AT532">
        <v>20</v>
      </c>
      <c r="AU532" s="6">
        <f>AT532/AT601</f>
        <v>0.17094017094017094</v>
      </c>
      <c r="AV532" s="6">
        <f>20/$AV$3</f>
        <v>0.16129032258064516</v>
      </c>
      <c r="AX532">
        <v>100</v>
      </c>
      <c r="AY532" s="6">
        <f>AX532/AX601</f>
        <v>0.25316455696202533</v>
      </c>
      <c r="AZ532" s="6">
        <f>100/$AZ$3</f>
        <v>0.23255813953488372</v>
      </c>
      <c r="BB532">
        <v>105</v>
      </c>
      <c r="BC532" s="6">
        <f>BB532/BB601</f>
        <v>0.25925925925925924</v>
      </c>
      <c r="BD532" s="6">
        <f>105/$BD$3</f>
        <v>0.24532710280373832</v>
      </c>
      <c r="BF532">
        <v>45</v>
      </c>
      <c r="BG532" s="6">
        <f>BF532/BF601</f>
        <v>0.19565217391304349</v>
      </c>
      <c r="BH532" s="6">
        <f>45/$BH$3</f>
        <v>0.18595041322314049</v>
      </c>
      <c r="BJ532">
        <v>102</v>
      </c>
      <c r="BK532" s="6">
        <f>BJ532/BJ601</f>
        <v>0.27345844504021449</v>
      </c>
      <c r="BL532" s="6">
        <f>102/$BL$3</f>
        <v>0.25310173697270472</v>
      </c>
      <c r="BN532">
        <v>80</v>
      </c>
      <c r="BO532" s="6">
        <f>BN532/BN601</f>
        <v>0.20356234096692111</v>
      </c>
      <c r="BP532" s="6">
        <f>80/$BP$3</f>
        <v>0.18912529550827423</v>
      </c>
      <c r="BR532">
        <v>68</v>
      </c>
      <c r="BS532" s="6">
        <f>BR532/BR601</f>
        <v>0.25757575757575757</v>
      </c>
      <c r="BT532" s="6">
        <f>68/$BT$3</f>
        <v>0.24817518248175183</v>
      </c>
      <c r="BV532">
        <v>71</v>
      </c>
      <c r="BW532" s="6">
        <f>BV532/BV601</f>
        <v>0.24825174825174826</v>
      </c>
      <c r="BX532" s="6">
        <f>71/$BX$3</f>
        <v>0.23278688524590163</v>
      </c>
      <c r="BZ532">
        <v>50</v>
      </c>
      <c r="CA532" s="6">
        <f>BZ532/BZ601</f>
        <v>0.23696682464454977</v>
      </c>
      <c r="CB532" s="6">
        <f>50/$CB$3</f>
        <v>0.22321428571428573</v>
      </c>
      <c r="CD532">
        <v>56</v>
      </c>
      <c r="CE532" s="6">
        <f>CD532/CD601</f>
        <v>0.25112107623318386</v>
      </c>
      <c r="CF532" s="6">
        <f>56/$CF$3</f>
        <v>0.23236514522821577</v>
      </c>
      <c r="CH532">
        <v>73</v>
      </c>
      <c r="CI532" s="6">
        <f>CH532/CH601</f>
        <v>0.23548387096774193</v>
      </c>
      <c r="CJ532" s="6">
        <f>73/$CJ$3</f>
        <v>0.22121212121212122</v>
      </c>
    </row>
    <row r="533" spans="1:88" x14ac:dyDescent="0.35">
      <c r="A533" s="1" t="s">
        <v>1574</v>
      </c>
      <c r="B533">
        <v>60</v>
      </c>
      <c r="C533" s="6">
        <f>B533/B601</f>
        <v>5.8252427184466021E-2</v>
      </c>
      <c r="D533" s="6">
        <f>60/$D$3</f>
        <v>5.4545454545454543E-2</v>
      </c>
      <c r="F533">
        <v>54</v>
      </c>
      <c r="G533" s="6">
        <f>F533/F601</f>
        <v>6.2211981566820278E-2</v>
      </c>
      <c r="H533" s="6">
        <f>54/$H$3</f>
        <v>5.9275521405049394E-2</v>
      </c>
      <c r="J533">
        <v>37</v>
      </c>
      <c r="K533" s="6">
        <f>J533/J601</f>
        <v>8.8095238095238101E-2</v>
      </c>
      <c r="L533" s="6">
        <f>37/$L$3</f>
        <v>8.5253456221198162E-2</v>
      </c>
      <c r="N533">
        <v>2</v>
      </c>
      <c r="O533" s="6">
        <f>N533/N601</f>
        <v>2.5974025974025976E-2</v>
      </c>
      <c r="P533" s="6">
        <f>2/$P$3</f>
        <v>2.4691358024691357E-2</v>
      </c>
      <c r="R533">
        <v>36</v>
      </c>
      <c r="S533" s="6">
        <f>R533/R601</f>
        <v>6.8702290076335881E-2</v>
      </c>
      <c r="T533" s="6">
        <f>36/$T$3</f>
        <v>6.4285714285714279E-2</v>
      </c>
      <c r="V533">
        <v>24</v>
      </c>
      <c r="W533" s="6">
        <f>V533/V601</f>
        <v>4.7430830039525688E-2</v>
      </c>
      <c r="X533" s="6">
        <f>24/$X$3</f>
        <v>4.4444444444444446E-2</v>
      </c>
      <c r="Z533">
        <v>2</v>
      </c>
      <c r="AA533" s="6">
        <f>Z533/Z601</f>
        <v>1.8867924528301886E-2</v>
      </c>
      <c r="AB533" s="6">
        <f>2/$AB$3</f>
        <v>1.7699115044247787E-2</v>
      </c>
      <c r="AD533">
        <v>8</v>
      </c>
      <c r="AE533" s="6">
        <f>AD533/AD601</f>
        <v>4.2553191489361701E-2</v>
      </c>
      <c r="AF533" s="6">
        <f>8/$AF$3</f>
        <v>4.0404040404040407E-2</v>
      </c>
      <c r="AH533">
        <v>16</v>
      </c>
      <c r="AI533" s="6">
        <f>AH533/AH601</f>
        <v>6.8965517241379309E-2</v>
      </c>
      <c r="AJ533" s="6">
        <f>16/$AJ$3</f>
        <v>6.4777327935222673E-2</v>
      </c>
      <c r="AL533">
        <v>16</v>
      </c>
      <c r="AM533" s="6">
        <f>AL533/AL601</f>
        <v>7.3394495412844041E-2</v>
      </c>
      <c r="AN533" s="6">
        <f>16/$AN$3</f>
        <v>6.8965517241379309E-2</v>
      </c>
      <c r="AP533">
        <v>11</v>
      </c>
      <c r="AQ533" s="6">
        <f>AP533/AP601</f>
        <v>6.5088757396449703E-2</v>
      </c>
      <c r="AR533" s="6">
        <f>11/$AR$3</f>
        <v>5.9139784946236562E-2</v>
      </c>
      <c r="AT533">
        <v>7</v>
      </c>
      <c r="AU533" s="6">
        <f>AT533/AT601</f>
        <v>5.9829059829059832E-2</v>
      </c>
      <c r="AV533" s="6">
        <f>7/$AV$3</f>
        <v>5.6451612903225805E-2</v>
      </c>
      <c r="AX533">
        <v>32</v>
      </c>
      <c r="AY533" s="6">
        <f>AX533/AX601</f>
        <v>8.1012658227848103E-2</v>
      </c>
      <c r="AZ533" s="6">
        <f>32/$AZ$3</f>
        <v>7.441860465116279E-2</v>
      </c>
      <c r="BB533">
        <v>17</v>
      </c>
      <c r="BC533" s="6">
        <f>BB533/BB601</f>
        <v>4.1975308641975309E-2</v>
      </c>
      <c r="BD533" s="6">
        <f>17/$BD$3</f>
        <v>3.9719626168224297E-2</v>
      </c>
      <c r="BF533">
        <v>11</v>
      </c>
      <c r="BG533" s="6">
        <f>BF533/BF601</f>
        <v>4.7826086956521741E-2</v>
      </c>
      <c r="BH533" s="6">
        <f>11/$BH$3</f>
        <v>4.5454545454545456E-2</v>
      </c>
      <c r="BJ533">
        <v>24</v>
      </c>
      <c r="BK533" s="6">
        <f>BJ533/BJ601</f>
        <v>6.4343163538873996E-2</v>
      </c>
      <c r="BL533" s="6">
        <f>24/$BL$3</f>
        <v>5.9553349875930521E-2</v>
      </c>
      <c r="BN533">
        <v>21</v>
      </c>
      <c r="BO533" s="6">
        <f>BN533/BN601</f>
        <v>5.3435114503816793E-2</v>
      </c>
      <c r="BP533" s="6">
        <f>21/$BP$3</f>
        <v>4.9645390070921988E-2</v>
      </c>
      <c r="BR533">
        <v>15</v>
      </c>
      <c r="BS533" s="6">
        <f>BR533/BR601</f>
        <v>5.6818181818181816E-2</v>
      </c>
      <c r="BT533" s="6">
        <f>15/$BT$3</f>
        <v>5.4744525547445258E-2</v>
      </c>
      <c r="BV533">
        <v>16</v>
      </c>
      <c r="BW533" s="6">
        <f>BV533/BV601</f>
        <v>5.5944055944055944E-2</v>
      </c>
      <c r="BX533" s="6">
        <f>16/$BX$3</f>
        <v>5.2459016393442623E-2</v>
      </c>
      <c r="BZ533">
        <v>19</v>
      </c>
      <c r="CA533" s="6">
        <f>BZ533/BZ601</f>
        <v>9.004739336492891E-2</v>
      </c>
      <c r="CB533" s="6">
        <f>19/$CB$3</f>
        <v>8.4821428571428575E-2</v>
      </c>
      <c r="CD533">
        <v>15</v>
      </c>
      <c r="CE533" s="6">
        <f>CD533/CD601</f>
        <v>6.726457399103139E-2</v>
      </c>
      <c r="CF533" s="6">
        <f>15/$CF$3</f>
        <v>6.2240663900414939E-2</v>
      </c>
      <c r="CH533">
        <v>10</v>
      </c>
      <c r="CI533" s="6">
        <f>CH533/CH601</f>
        <v>3.2258064516129031E-2</v>
      </c>
      <c r="CJ533" s="6">
        <f>10/$CJ$3</f>
        <v>3.0303030303030304E-2</v>
      </c>
    </row>
    <row r="534" spans="1:88" x14ac:dyDescent="0.35">
      <c r="A534" s="1" t="s">
        <v>1575</v>
      </c>
      <c r="B534">
        <v>79</v>
      </c>
      <c r="C534" s="6">
        <f>B534/B601</f>
        <v>7.6699029126213597E-2</v>
      </c>
      <c r="D534" s="6">
        <f>79/$D$3</f>
        <v>7.1818181818181823E-2</v>
      </c>
      <c r="F534">
        <v>72</v>
      </c>
      <c r="G534" s="6">
        <f>F534/F601</f>
        <v>8.294930875576037E-2</v>
      </c>
      <c r="H534" s="6">
        <f>72/$H$3</f>
        <v>7.9034028540065859E-2</v>
      </c>
      <c r="J534">
        <v>25</v>
      </c>
      <c r="K534" s="6">
        <f>J534/J601</f>
        <v>5.9523809523809521E-2</v>
      </c>
      <c r="L534" s="6">
        <f>25/$L$3</f>
        <v>5.7603686635944701E-2</v>
      </c>
      <c r="N534">
        <v>6</v>
      </c>
      <c r="O534" s="6">
        <f>N534/N601</f>
        <v>7.792207792207792E-2</v>
      </c>
      <c r="P534" s="6">
        <f>6/$P$3</f>
        <v>7.407407407407407E-2</v>
      </c>
      <c r="R534">
        <v>41</v>
      </c>
      <c r="S534" s="6">
        <f>R534/R601</f>
        <v>7.8244274809160311E-2</v>
      </c>
      <c r="T534" s="6">
        <f>41/$T$3</f>
        <v>7.3214285714285718E-2</v>
      </c>
      <c r="V534">
        <v>38</v>
      </c>
      <c r="W534" s="6">
        <f>V534/V601</f>
        <v>7.5098814229249009E-2</v>
      </c>
      <c r="X534" s="6">
        <f>38/$X$3</f>
        <v>7.0370370370370375E-2</v>
      </c>
      <c r="Z534">
        <v>9</v>
      </c>
      <c r="AA534" s="6">
        <f>Z534/Z601</f>
        <v>8.4905660377358486E-2</v>
      </c>
      <c r="AB534" s="6">
        <f>9/$AB$3</f>
        <v>7.9646017699115043E-2</v>
      </c>
      <c r="AD534">
        <v>12</v>
      </c>
      <c r="AE534" s="6">
        <f>AD534/AD601</f>
        <v>6.3829787234042548E-2</v>
      </c>
      <c r="AF534" s="6">
        <f>12/$AF$3</f>
        <v>6.0606060606060608E-2</v>
      </c>
      <c r="AH534">
        <v>6</v>
      </c>
      <c r="AI534" s="6">
        <f>AH534/AH601</f>
        <v>2.5862068965517241E-2</v>
      </c>
      <c r="AJ534" s="6">
        <f>6/$AJ$3</f>
        <v>2.4291497975708502E-2</v>
      </c>
      <c r="AL534">
        <v>20</v>
      </c>
      <c r="AM534" s="6">
        <f>AL534/AL601</f>
        <v>9.1743119266055051E-2</v>
      </c>
      <c r="AN534" s="6">
        <f>20/$AN$3</f>
        <v>8.6206896551724144E-2</v>
      </c>
      <c r="AO534" s="7"/>
      <c r="AP534">
        <v>16</v>
      </c>
      <c r="AQ534" s="6">
        <f>AP534/AP601</f>
        <v>9.4674556213017749E-2</v>
      </c>
      <c r="AR534" s="6">
        <f>16/$AR$3</f>
        <v>8.6021505376344093E-2</v>
      </c>
      <c r="AT534">
        <v>16</v>
      </c>
      <c r="AU534" s="6">
        <f>AT534/AT601</f>
        <v>0.13675213675213677</v>
      </c>
      <c r="AV534" s="9">
        <f>16/$AV$3</f>
        <v>0.12903225806451613</v>
      </c>
      <c r="AW534" s="7"/>
      <c r="AX534">
        <v>37</v>
      </c>
      <c r="AY534" s="6">
        <f>AX534/AX601</f>
        <v>9.3670886075949367E-2</v>
      </c>
      <c r="AZ534" s="6">
        <f>37/$AZ$3</f>
        <v>8.6046511627906982E-2</v>
      </c>
      <c r="BB534">
        <v>29</v>
      </c>
      <c r="BC534" s="6">
        <f>BB534/BB601</f>
        <v>7.160493827160494E-2</v>
      </c>
      <c r="BD534" s="6">
        <f>29/$BD$3</f>
        <v>6.7757009345794386E-2</v>
      </c>
      <c r="BF534">
        <v>13</v>
      </c>
      <c r="BG534" s="6">
        <f>BF534/BF601</f>
        <v>5.6521739130434782E-2</v>
      </c>
      <c r="BH534" s="6">
        <f>13/$BH$3</f>
        <v>5.3719008264462811E-2</v>
      </c>
      <c r="BJ534">
        <v>23</v>
      </c>
      <c r="BK534" s="6">
        <f>BJ534/BJ601</f>
        <v>6.1662198391420911E-2</v>
      </c>
      <c r="BL534" s="6">
        <f>23/$BL$3</f>
        <v>5.7071960297766747E-2</v>
      </c>
      <c r="BN534">
        <v>40</v>
      </c>
      <c r="BO534" s="6">
        <f>BN534/BN601</f>
        <v>0.10178117048346055</v>
      </c>
      <c r="BP534" s="6">
        <f>40/$BP$3</f>
        <v>9.4562647754137114E-2</v>
      </c>
      <c r="BR534">
        <v>16</v>
      </c>
      <c r="BS534" s="6">
        <f>BR534/BR601</f>
        <v>6.0606060606060608E-2</v>
      </c>
      <c r="BT534" s="6">
        <f>16/$BT$3</f>
        <v>5.8394160583941604E-2</v>
      </c>
      <c r="BV534">
        <v>22</v>
      </c>
      <c r="BW534" s="6">
        <f>BV534/BV601</f>
        <v>7.6923076923076927E-2</v>
      </c>
      <c r="BX534" s="6">
        <f>22/$BX$3</f>
        <v>7.2131147540983612E-2</v>
      </c>
      <c r="BZ534">
        <v>15</v>
      </c>
      <c r="CA534" s="6">
        <f>BZ534/BZ601</f>
        <v>7.1090047393364927E-2</v>
      </c>
      <c r="CB534" s="6">
        <f>15/$CB$3</f>
        <v>6.6964285714285712E-2</v>
      </c>
      <c r="CD534">
        <v>20</v>
      </c>
      <c r="CE534" s="6">
        <f>CD534/CD601</f>
        <v>8.9686098654708515E-2</v>
      </c>
      <c r="CF534" s="6">
        <f>20/$CF$3</f>
        <v>8.2987551867219914E-2</v>
      </c>
      <c r="CH534">
        <v>22</v>
      </c>
      <c r="CI534" s="6">
        <f>CH534/CH601</f>
        <v>7.0967741935483872E-2</v>
      </c>
      <c r="CJ534" s="6">
        <f>22/$CJ$3</f>
        <v>6.6666666666666666E-2</v>
      </c>
    </row>
    <row r="535" spans="1:88" x14ac:dyDescent="0.35">
      <c r="A535" s="1" t="s">
        <v>1576</v>
      </c>
      <c r="B535">
        <v>157</v>
      </c>
      <c r="C535" s="6">
        <f>B535/B601</f>
        <v>0.15242718446601941</v>
      </c>
      <c r="D535" s="6">
        <f>157/$D$3</f>
        <v>0.14272727272727273</v>
      </c>
      <c r="F535">
        <v>142</v>
      </c>
      <c r="G535" s="6">
        <f>F535/F601</f>
        <v>0.16359447004608296</v>
      </c>
      <c r="H535" s="6">
        <f>142/$H$3</f>
        <v>0.15587266739846323</v>
      </c>
      <c r="J535">
        <v>64</v>
      </c>
      <c r="K535" s="6">
        <f>J535/J601</f>
        <v>0.15238095238095239</v>
      </c>
      <c r="L535" s="6">
        <f>64/$L$3</f>
        <v>0.14746543778801843</v>
      </c>
      <c r="N535">
        <v>18</v>
      </c>
      <c r="O535" s="6">
        <f>N535/N601</f>
        <v>0.23376623376623376</v>
      </c>
      <c r="P535" s="9">
        <f>18/$P$3</f>
        <v>0.22222222222222221</v>
      </c>
      <c r="R535">
        <v>69</v>
      </c>
      <c r="S535" s="6">
        <f>R535/R601</f>
        <v>0.1316793893129771</v>
      </c>
      <c r="T535" s="6">
        <f>69/$T$3</f>
        <v>0.12321428571428572</v>
      </c>
      <c r="V535">
        <v>88</v>
      </c>
      <c r="W535" s="6">
        <f>V535/V601</f>
        <v>0.17391304347826086</v>
      </c>
      <c r="X535" s="6">
        <f>88/$X$3</f>
        <v>0.16296296296296298</v>
      </c>
      <c r="Z535">
        <v>15</v>
      </c>
      <c r="AA535" s="6">
        <f>Z535/Z601</f>
        <v>0.14150943396226415</v>
      </c>
      <c r="AB535" s="6">
        <f>15/$AB$3</f>
        <v>0.13274336283185842</v>
      </c>
      <c r="AD535">
        <v>28</v>
      </c>
      <c r="AE535" s="6">
        <f>AD535/AD601</f>
        <v>0.14893617021276595</v>
      </c>
      <c r="AF535" s="6">
        <f>28/$AF$3</f>
        <v>0.14141414141414141</v>
      </c>
      <c r="AH535">
        <v>31</v>
      </c>
      <c r="AI535" s="6">
        <f>AH535/AH601</f>
        <v>0.1336206896551724</v>
      </c>
      <c r="AJ535" s="6">
        <f>31/$AJ$3</f>
        <v>0.12550607287449392</v>
      </c>
      <c r="AL535">
        <v>41</v>
      </c>
      <c r="AM535" s="6">
        <f>AL535/AL601</f>
        <v>0.18807339449541285</v>
      </c>
      <c r="AN535" s="6">
        <f>41/$AN$3</f>
        <v>0.17672413793103448</v>
      </c>
      <c r="AP535">
        <v>28</v>
      </c>
      <c r="AQ535" s="6">
        <f>AP535/AP601</f>
        <v>0.16568047337278108</v>
      </c>
      <c r="AR535" s="6">
        <f>28/$AR$3</f>
        <v>0.15053763440860216</v>
      </c>
      <c r="AT535">
        <v>14</v>
      </c>
      <c r="AU535" s="6">
        <f>AT535/AT601</f>
        <v>0.11965811965811966</v>
      </c>
      <c r="AV535" s="6">
        <f>14/$AV$3</f>
        <v>0.11290322580645161</v>
      </c>
      <c r="AX535">
        <v>66</v>
      </c>
      <c r="AY535" s="6">
        <f>AX535/AX601</f>
        <v>0.16708860759493671</v>
      </c>
      <c r="AZ535" s="6">
        <f>66/$AZ$3</f>
        <v>0.15348837209302327</v>
      </c>
      <c r="BB535">
        <v>67</v>
      </c>
      <c r="BC535" s="6">
        <f>BB535/BB601</f>
        <v>0.16543209876543211</v>
      </c>
      <c r="BD535" s="6">
        <f>67/$BD$3</f>
        <v>0.15654205607476634</v>
      </c>
      <c r="BF535">
        <v>24</v>
      </c>
      <c r="BG535" s="6">
        <f>BF535/BF601</f>
        <v>0.10434782608695652</v>
      </c>
      <c r="BH535" s="6">
        <f>24/$BH$3</f>
        <v>9.9173553719008267E-2</v>
      </c>
      <c r="BJ535">
        <v>64</v>
      </c>
      <c r="BK535" s="6">
        <f>BJ535/BJ601</f>
        <v>0.17158176943699732</v>
      </c>
      <c r="BL535" s="6">
        <f>64/$BL$3</f>
        <v>0.15880893300248139</v>
      </c>
      <c r="BN535">
        <v>60</v>
      </c>
      <c r="BO535" s="6">
        <f>BN535/BN601</f>
        <v>0.15267175572519084</v>
      </c>
      <c r="BP535" s="6">
        <f>60/$BP$3</f>
        <v>0.14184397163120568</v>
      </c>
      <c r="BR535">
        <v>33</v>
      </c>
      <c r="BS535" s="6">
        <f>BR535/BR601</f>
        <v>0.125</v>
      </c>
      <c r="BT535" s="6">
        <f>33/$BT$3</f>
        <v>0.12043795620437957</v>
      </c>
      <c r="BV535">
        <v>53</v>
      </c>
      <c r="BW535" s="6">
        <f>BV535/BV601</f>
        <v>0.18531468531468531</v>
      </c>
      <c r="BX535" s="6">
        <f>53/$BX$3</f>
        <v>0.17377049180327869</v>
      </c>
      <c r="BZ535">
        <v>32</v>
      </c>
      <c r="CA535" s="6">
        <f>BZ535/BZ601</f>
        <v>0.15165876777251186</v>
      </c>
      <c r="CB535" s="6">
        <f>32/$CB$3</f>
        <v>0.14285714285714285</v>
      </c>
      <c r="CD535">
        <v>32</v>
      </c>
      <c r="CE535" s="6">
        <f>CD535/CD601</f>
        <v>0.14349775784753363</v>
      </c>
      <c r="CF535" s="6">
        <f>32/$CF$3</f>
        <v>0.13278008298755187</v>
      </c>
      <c r="CH535">
        <v>40</v>
      </c>
      <c r="CI535" s="6">
        <f>CH535/CH601</f>
        <v>0.12903225806451613</v>
      </c>
      <c r="CJ535" s="6">
        <f>40/$CJ$3</f>
        <v>0.12121212121212122</v>
      </c>
    </row>
    <row r="536" spans="1:88" x14ac:dyDescent="0.35">
      <c r="A536" s="1" t="s">
        <v>1577</v>
      </c>
      <c r="B536">
        <v>43</v>
      </c>
      <c r="C536" s="6">
        <f>B536/B601</f>
        <v>4.1747572815533977E-2</v>
      </c>
      <c r="D536" s="6">
        <f>43/$D$3</f>
        <v>3.9090909090909093E-2</v>
      </c>
      <c r="F536">
        <v>42</v>
      </c>
      <c r="G536" s="6">
        <f>F536/F601</f>
        <v>4.8387096774193547E-2</v>
      </c>
      <c r="H536" s="6">
        <f>42/$H$3</f>
        <v>4.6103183315038418E-2</v>
      </c>
      <c r="J536">
        <v>30</v>
      </c>
      <c r="K536" s="6">
        <f>J536/J601</f>
        <v>7.1428571428571425E-2</v>
      </c>
      <c r="L536" s="6">
        <f>30/$L$3</f>
        <v>6.9124423963133647E-2</v>
      </c>
      <c r="N536">
        <v>2</v>
      </c>
      <c r="O536" s="6">
        <f>N536/N601</f>
        <v>2.5974025974025976E-2</v>
      </c>
      <c r="P536" s="6">
        <f>2/$P$3</f>
        <v>2.4691358024691357E-2</v>
      </c>
      <c r="R536">
        <v>26</v>
      </c>
      <c r="S536" s="6">
        <f>R536/R601</f>
        <v>4.9618320610687022E-2</v>
      </c>
      <c r="T536" s="6">
        <f>26/$T$3</f>
        <v>4.642857142857143E-2</v>
      </c>
      <c r="V536">
        <v>17</v>
      </c>
      <c r="W536" s="6">
        <f>V536/V601</f>
        <v>3.3596837944664032E-2</v>
      </c>
      <c r="X536" s="6">
        <f>17/$X$3</f>
        <v>3.1481481481481478E-2</v>
      </c>
      <c r="Z536">
        <v>4</v>
      </c>
      <c r="AA536" s="6">
        <f>Z536/Z601</f>
        <v>3.7735849056603772E-2</v>
      </c>
      <c r="AB536" s="6">
        <f>4/$AB$3</f>
        <v>3.5398230088495575E-2</v>
      </c>
      <c r="AD536">
        <v>12</v>
      </c>
      <c r="AE536" s="6">
        <f>AD536/AD601</f>
        <v>6.3829787234042548E-2</v>
      </c>
      <c r="AF536" s="6">
        <f>12/$AF$3</f>
        <v>6.0606060606060608E-2</v>
      </c>
      <c r="AH536">
        <v>14</v>
      </c>
      <c r="AI536" s="6">
        <f>AH536/AH601</f>
        <v>6.0344827586206899E-2</v>
      </c>
      <c r="AJ536" s="6">
        <f>14/$AJ$3</f>
        <v>5.6680161943319839E-2</v>
      </c>
      <c r="AL536">
        <v>5</v>
      </c>
      <c r="AM536" s="6">
        <f>AL536/AL601</f>
        <v>2.2935779816513763E-2</v>
      </c>
      <c r="AN536" s="6">
        <f>5/$AN$3</f>
        <v>2.1551724137931036E-2</v>
      </c>
      <c r="AP536">
        <v>3</v>
      </c>
      <c r="AQ536" s="6">
        <f>AP536/AP601</f>
        <v>1.7751479289940829E-2</v>
      </c>
      <c r="AR536" s="6">
        <f>3/$AR$3</f>
        <v>1.6129032258064516E-2</v>
      </c>
      <c r="AT536">
        <v>5</v>
      </c>
      <c r="AU536" s="6">
        <f>AT536/AT601</f>
        <v>4.2735042735042736E-2</v>
      </c>
      <c r="AV536" s="6">
        <f>5/$AV$3</f>
        <v>4.0322580645161289E-2</v>
      </c>
      <c r="AX536">
        <v>13</v>
      </c>
      <c r="AY536" s="6">
        <f>AX536/AX601</f>
        <v>3.2911392405063293E-2</v>
      </c>
      <c r="AZ536" s="6">
        <f>13/$AZ$3</f>
        <v>3.0232558139534883E-2</v>
      </c>
      <c r="BB536">
        <v>15</v>
      </c>
      <c r="BC536" s="6">
        <f>BB536/BB601</f>
        <v>3.7037037037037035E-2</v>
      </c>
      <c r="BD536" s="6">
        <f>15/$BD$3</f>
        <v>3.5046728971962614E-2</v>
      </c>
      <c r="BF536">
        <v>15</v>
      </c>
      <c r="BG536" s="6">
        <f>BF536/BF601</f>
        <v>6.5217391304347824E-2</v>
      </c>
      <c r="BH536" s="6">
        <f>15/$BH$3</f>
        <v>6.1983471074380167E-2</v>
      </c>
      <c r="BJ536">
        <v>16</v>
      </c>
      <c r="BK536" s="6">
        <f>BJ536/BJ601</f>
        <v>4.2895442359249331E-2</v>
      </c>
      <c r="BL536" s="6">
        <f>16/$BL$3</f>
        <v>3.9702233250620347E-2</v>
      </c>
      <c r="BN536">
        <v>17</v>
      </c>
      <c r="BO536" s="6">
        <f>BN536/BN601</f>
        <v>4.3256997455470736E-2</v>
      </c>
      <c r="BP536" s="6">
        <f>17/$BP$3</f>
        <v>4.0189125295508277E-2</v>
      </c>
      <c r="BR536">
        <v>10</v>
      </c>
      <c r="BS536" s="6">
        <f>BR536/BR601</f>
        <v>3.787878787878788E-2</v>
      </c>
      <c r="BT536" s="6">
        <f>10/$BT$3</f>
        <v>3.6496350364963501E-2</v>
      </c>
      <c r="BV536">
        <v>12</v>
      </c>
      <c r="BW536" s="6">
        <f>BV536/BV601</f>
        <v>4.195804195804196E-2</v>
      </c>
      <c r="BX536" s="6">
        <f>12/$BX$3</f>
        <v>3.9344262295081971E-2</v>
      </c>
      <c r="BZ536">
        <v>7</v>
      </c>
      <c r="CA536" s="6">
        <f>BZ536/BZ601</f>
        <v>3.3175355450236969E-2</v>
      </c>
      <c r="CB536" s="6">
        <f>7/$CB$3</f>
        <v>3.125E-2</v>
      </c>
      <c r="CD536">
        <v>11</v>
      </c>
      <c r="CE536" s="6">
        <f>CD536/CD601</f>
        <v>4.9327354260089683E-2</v>
      </c>
      <c r="CF536" s="6">
        <f>11/$CF$3</f>
        <v>4.5643153526970952E-2</v>
      </c>
      <c r="CH536">
        <v>13</v>
      </c>
      <c r="CI536" s="6">
        <f>CH536/CH601</f>
        <v>4.1935483870967745E-2</v>
      </c>
      <c r="CJ536" s="6">
        <f>13/$CJ$3</f>
        <v>3.9393939393939391E-2</v>
      </c>
    </row>
    <row r="537" spans="1:88" x14ac:dyDescent="0.35">
      <c r="A537" s="1" t="s">
        <v>1578</v>
      </c>
      <c r="B537">
        <v>441</v>
      </c>
      <c r="C537" s="6">
        <f>B537/B601</f>
        <v>0.42815533980582526</v>
      </c>
      <c r="D537" s="6">
        <f>441/$D$3</f>
        <v>0.40090909090909088</v>
      </c>
      <c r="F537">
        <v>336</v>
      </c>
      <c r="G537" s="6">
        <f>F537/F601</f>
        <v>0.38709677419354838</v>
      </c>
      <c r="H537" s="6">
        <f>336/$H$3</f>
        <v>0.36882546652030734</v>
      </c>
      <c r="J537">
        <v>152</v>
      </c>
      <c r="K537" s="6">
        <f>J537/J601</f>
        <v>0.3619047619047619</v>
      </c>
      <c r="L537" s="8">
        <f>152/$L$3</f>
        <v>0.35023041474654376</v>
      </c>
      <c r="N537">
        <v>25</v>
      </c>
      <c r="O537" s="6">
        <f>N537/N601</f>
        <v>0.32467532467532467</v>
      </c>
      <c r="P537" s="6">
        <f>25/$P$3</f>
        <v>0.30864197530864196</v>
      </c>
      <c r="R537">
        <v>235</v>
      </c>
      <c r="S537" s="6">
        <f>R537/R601</f>
        <v>0.44847328244274809</v>
      </c>
      <c r="T537" s="6">
        <f>235/$T$3</f>
        <v>0.41964285714285715</v>
      </c>
      <c r="V537">
        <v>206</v>
      </c>
      <c r="W537" s="6">
        <f>V537/V601</f>
        <v>0.40711462450592883</v>
      </c>
      <c r="X537" s="6">
        <f>206/$X$3</f>
        <v>0.38148148148148148</v>
      </c>
      <c r="Z537">
        <v>46</v>
      </c>
      <c r="AA537" s="6">
        <f>Z537/Z601</f>
        <v>0.43396226415094341</v>
      </c>
      <c r="AB537" s="6">
        <f>46/$AB$3</f>
        <v>0.40707964601769914</v>
      </c>
      <c r="AD537">
        <v>76</v>
      </c>
      <c r="AE537" s="6">
        <f>AD537/AD601</f>
        <v>0.40425531914893614</v>
      </c>
      <c r="AF537" s="6">
        <f>76/$AF$3</f>
        <v>0.38383838383838381</v>
      </c>
      <c r="AH537">
        <v>110</v>
      </c>
      <c r="AI537" s="6">
        <f>AH537/AH601</f>
        <v>0.47413793103448276</v>
      </c>
      <c r="AJ537" s="6">
        <f>110/$AJ$3</f>
        <v>0.44534412955465585</v>
      </c>
      <c r="AL537">
        <v>83</v>
      </c>
      <c r="AM537" s="6">
        <f>AL537/AL601</f>
        <v>0.38073394495412843</v>
      </c>
      <c r="AN537" s="6">
        <f>83/$AN$3</f>
        <v>0.35775862068965519</v>
      </c>
      <c r="AP537">
        <v>71</v>
      </c>
      <c r="AQ537" s="6">
        <f>AP537/AP601</f>
        <v>0.42011834319526625</v>
      </c>
      <c r="AR537" s="6">
        <f>71/$AR$3</f>
        <v>0.38172043010752688</v>
      </c>
      <c r="AT537">
        <v>55</v>
      </c>
      <c r="AU537" s="6">
        <f>AT537/AT601</f>
        <v>0.47008547008547008</v>
      </c>
      <c r="AV537" s="6">
        <f>55/$AV$3</f>
        <v>0.44354838709677419</v>
      </c>
      <c r="AX537">
        <v>147</v>
      </c>
      <c r="AY537" s="6">
        <f>AX537/AX601</f>
        <v>0.3721518987341772</v>
      </c>
      <c r="AZ537" s="8">
        <f>147/$AZ$3</f>
        <v>0.34186046511627904</v>
      </c>
      <c r="BB537">
        <v>172</v>
      </c>
      <c r="BC537" s="6">
        <f>BB537/BB601</f>
        <v>0.42469135802469138</v>
      </c>
      <c r="BD537" s="6">
        <f>172/$BD$3</f>
        <v>0.40186915887850466</v>
      </c>
      <c r="BF537">
        <v>122</v>
      </c>
      <c r="BG537" s="6">
        <f>BF537/BF601</f>
        <v>0.5304347826086957</v>
      </c>
      <c r="BH537" s="9">
        <f>122/$BH$3</f>
        <v>0.50413223140495866</v>
      </c>
      <c r="BI537" s="7" t="s">
        <v>3</v>
      </c>
      <c r="BJ537">
        <v>144</v>
      </c>
      <c r="BK537" s="6">
        <f>BJ537/BJ601</f>
        <v>0.38605898123324395</v>
      </c>
      <c r="BL537" s="6">
        <f>144/$BL$3</f>
        <v>0.35732009925558311</v>
      </c>
      <c r="BN537">
        <v>175</v>
      </c>
      <c r="BO537" s="6">
        <f>BN537/BN601</f>
        <v>0.44529262086513993</v>
      </c>
      <c r="BP537" s="6">
        <f>175/$BP$3</f>
        <v>0.41371158392434987</v>
      </c>
      <c r="BR537">
        <v>122</v>
      </c>
      <c r="BS537" s="6">
        <f>BR537/BR601</f>
        <v>0.4621212121212121</v>
      </c>
      <c r="BT537" s="6">
        <f>122/$BT$3</f>
        <v>0.44525547445255476</v>
      </c>
      <c r="BV537">
        <v>112</v>
      </c>
      <c r="BW537" s="6">
        <f>BV537/BV601</f>
        <v>0.39160839160839161</v>
      </c>
      <c r="BX537" s="6">
        <f>112/$BX$3</f>
        <v>0.36721311475409835</v>
      </c>
      <c r="BZ537">
        <v>88</v>
      </c>
      <c r="CA537" s="6">
        <f>BZ537/BZ601</f>
        <v>0.41706161137440756</v>
      </c>
      <c r="CB537" s="6">
        <f>88/$CB$3</f>
        <v>0.39285714285714285</v>
      </c>
      <c r="CD537">
        <v>89</v>
      </c>
      <c r="CE537" s="6">
        <f>CD537/CD601</f>
        <v>0.3991031390134529</v>
      </c>
      <c r="CF537" s="6">
        <f>89/$CF$3</f>
        <v>0.36929460580912865</v>
      </c>
      <c r="CH537">
        <v>152</v>
      </c>
      <c r="CI537" s="6">
        <f>CH537/CH601</f>
        <v>0.49032258064516127</v>
      </c>
      <c r="CJ537" s="9">
        <f>152/$CJ$3</f>
        <v>0.46060606060606063</v>
      </c>
    </row>
    <row r="539" spans="1:88" x14ac:dyDescent="0.35">
      <c r="A539" s="1" t="s">
        <v>1579</v>
      </c>
      <c r="B539">
        <v>448</v>
      </c>
      <c r="C539" s="6">
        <f>B539/B601</f>
        <v>0.43495145631067961</v>
      </c>
      <c r="D539" s="6">
        <f>448/$D$3</f>
        <v>0.40727272727272729</v>
      </c>
      <c r="F539">
        <v>403</v>
      </c>
      <c r="G539" s="6">
        <f>F539/F601</f>
        <v>0.4642857142857143</v>
      </c>
      <c r="H539" s="6">
        <f>403/$H$3</f>
        <v>0.442371020856202</v>
      </c>
      <c r="J539">
        <v>212</v>
      </c>
      <c r="K539" s="6">
        <f>J539/J601</f>
        <v>0.50476190476190474</v>
      </c>
      <c r="L539" s="9">
        <f>212/$L$3</f>
        <v>0.48847926267281105</v>
      </c>
      <c r="N539">
        <v>32</v>
      </c>
      <c r="O539" s="6">
        <f>N539/N601</f>
        <v>0.41558441558441561</v>
      </c>
      <c r="P539" s="6">
        <f>32/$P$3</f>
        <v>0.39506172839506171</v>
      </c>
      <c r="R539">
        <v>257</v>
      </c>
      <c r="S539" s="6">
        <f>R539/R601</f>
        <v>0.49045801526717558</v>
      </c>
      <c r="T539" s="9">
        <f>257/$T$3</f>
        <v>0.45892857142857141</v>
      </c>
      <c r="V539">
        <v>191</v>
      </c>
      <c r="W539" s="6">
        <f>V539/V601</f>
        <v>0.37747035573122528</v>
      </c>
      <c r="X539" s="8">
        <f>191/$X$3</f>
        <v>0.35370370370370369</v>
      </c>
      <c r="Z539">
        <v>50</v>
      </c>
      <c r="AA539" s="6">
        <f>Z539/Z601</f>
        <v>0.47169811320754718</v>
      </c>
      <c r="AB539" s="6">
        <f>50/$AB$3</f>
        <v>0.44247787610619471</v>
      </c>
      <c r="AD539">
        <v>79</v>
      </c>
      <c r="AE539" s="6">
        <f>AD539/AD601</f>
        <v>0.42021276595744683</v>
      </c>
      <c r="AF539" s="6">
        <f>79/$AF$3</f>
        <v>0.39898989898989901</v>
      </c>
      <c r="AH539">
        <v>111</v>
      </c>
      <c r="AI539" s="6">
        <f>AH539/AH601</f>
        <v>0.47844827586206895</v>
      </c>
      <c r="AJ539" s="6">
        <f>111/$AJ$3</f>
        <v>0.44939271255060731</v>
      </c>
      <c r="AL539">
        <v>103</v>
      </c>
      <c r="AM539" s="6">
        <f>AL539/AL601</f>
        <v>0.47247706422018348</v>
      </c>
      <c r="AN539" s="6">
        <f>103/$AN$3</f>
        <v>0.44396551724137934</v>
      </c>
      <c r="AP539">
        <v>65</v>
      </c>
      <c r="AQ539" s="6">
        <f>AP539/AP601</f>
        <v>0.38461538461538464</v>
      </c>
      <c r="AR539" s="6">
        <f>65/$AR$3</f>
        <v>0.34946236559139787</v>
      </c>
      <c r="AT539">
        <v>40</v>
      </c>
      <c r="AU539" s="6">
        <f>AT539/AT601</f>
        <v>0.34188034188034189</v>
      </c>
      <c r="AV539" s="8">
        <f>40/$AV$3</f>
        <v>0.32258064516129031</v>
      </c>
      <c r="AX539">
        <v>173</v>
      </c>
      <c r="AY539" s="6">
        <f>AX539/AX601</f>
        <v>0.4379746835443038</v>
      </c>
      <c r="AZ539" s="6">
        <f>173/$AZ$3</f>
        <v>0.40232558139534885</v>
      </c>
      <c r="BB539">
        <v>181</v>
      </c>
      <c r="BC539" s="6">
        <f>BB539/BB601</f>
        <v>0.44691358024691358</v>
      </c>
      <c r="BD539" s="6">
        <f>181/$BD$3</f>
        <v>0.42289719626168226</v>
      </c>
      <c r="BF539">
        <v>94</v>
      </c>
      <c r="BG539" s="6">
        <f>BF539/BF601</f>
        <v>0.40869565217391307</v>
      </c>
      <c r="BH539" s="6">
        <f>94/$BH$3</f>
        <v>0.38842975206611569</v>
      </c>
      <c r="BJ539">
        <v>165</v>
      </c>
      <c r="BK539" s="6">
        <f>BJ539/BJ601</f>
        <v>0.44235924932975873</v>
      </c>
      <c r="BL539" s="6">
        <f>165/$BL$3</f>
        <v>0.40942928039702231</v>
      </c>
      <c r="BN539">
        <v>159</v>
      </c>
      <c r="BO539" s="6">
        <f>BN539/BN601</f>
        <v>0.40458015267175573</v>
      </c>
      <c r="BP539" s="6">
        <f>159/$BP$3</f>
        <v>0.37588652482269502</v>
      </c>
      <c r="BR539">
        <v>124</v>
      </c>
      <c r="BS539" s="6">
        <f>BR539/BR601</f>
        <v>0.46969696969696972</v>
      </c>
      <c r="BT539" s="6">
        <f>124/$BT$3</f>
        <v>0.45255474452554745</v>
      </c>
      <c r="BV539">
        <v>116</v>
      </c>
      <c r="BW539" s="6">
        <f>BV539/BV601</f>
        <v>0.40559440559440557</v>
      </c>
      <c r="BX539" s="6">
        <f>116/$BX$3</f>
        <v>0.38032786885245901</v>
      </c>
      <c r="BZ539">
        <v>93</v>
      </c>
      <c r="CA539" s="6">
        <f>BZ539/BZ601</f>
        <v>0.44075829383886256</v>
      </c>
      <c r="CB539" s="6">
        <f>93/$CB$3</f>
        <v>0.41517857142857145</v>
      </c>
      <c r="CD539">
        <v>102</v>
      </c>
      <c r="CE539" s="6">
        <f>CD539/CD601</f>
        <v>0.45739910313901344</v>
      </c>
      <c r="CF539" s="6">
        <f>102/$CF$3</f>
        <v>0.42323651452282157</v>
      </c>
      <c r="CH539">
        <v>137</v>
      </c>
      <c r="CI539" s="6">
        <f>CH539/CH601</f>
        <v>0.44193548387096776</v>
      </c>
      <c r="CJ539" s="6">
        <f>137/$CJ$3</f>
        <v>0.41515151515151516</v>
      </c>
    </row>
    <row r="540" spans="1:88" x14ac:dyDescent="0.35">
      <c r="A540" s="1" t="s">
        <v>1580</v>
      </c>
      <c r="B540">
        <v>38</v>
      </c>
      <c r="C540" s="6">
        <f>B540/B601</f>
        <v>3.6893203883495145E-2</v>
      </c>
      <c r="D540" s="6">
        <f>38/$D$3</f>
        <v>3.4545454545454546E-2</v>
      </c>
      <c r="F540">
        <v>31</v>
      </c>
      <c r="G540" s="6">
        <f>F540/F601</f>
        <v>3.5714285714285712E-2</v>
      </c>
      <c r="H540" s="6">
        <f>31/$H$3</f>
        <v>3.4028540065861687E-2</v>
      </c>
      <c r="J540">
        <v>20</v>
      </c>
      <c r="K540" s="6">
        <f>J540/J601</f>
        <v>4.7619047619047616E-2</v>
      </c>
      <c r="L540" s="6">
        <f>20/$L$3</f>
        <v>4.6082949308755762E-2</v>
      </c>
      <c r="N540">
        <v>5</v>
      </c>
      <c r="O540" s="6">
        <f>N540/N601</f>
        <v>6.4935064935064929E-2</v>
      </c>
      <c r="P540" s="6">
        <f>5/$P$3</f>
        <v>6.1728395061728392E-2</v>
      </c>
      <c r="R540">
        <v>18</v>
      </c>
      <c r="S540" s="6">
        <f>R540/R601</f>
        <v>3.4351145038167941E-2</v>
      </c>
      <c r="T540" s="6">
        <f>18/$T$3</f>
        <v>3.214285714285714E-2</v>
      </c>
      <c r="V540">
        <v>20</v>
      </c>
      <c r="W540" s="6">
        <f>V540/V601</f>
        <v>3.9525691699604744E-2</v>
      </c>
      <c r="X540" s="6">
        <f>20/$X$3</f>
        <v>3.7037037037037035E-2</v>
      </c>
      <c r="Z540">
        <v>3</v>
      </c>
      <c r="AA540" s="6">
        <f>Z540/Z601</f>
        <v>2.8301886792452831E-2</v>
      </c>
      <c r="AB540" s="6">
        <f>3/$AB$3</f>
        <v>2.6548672566371681E-2</v>
      </c>
      <c r="AD540">
        <v>3</v>
      </c>
      <c r="AE540" s="6">
        <f>AD540/AD601</f>
        <v>1.5957446808510637E-2</v>
      </c>
      <c r="AF540" s="6">
        <f>3/$AF$3</f>
        <v>1.5151515151515152E-2</v>
      </c>
      <c r="AH540">
        <v>8</v>
      </c>
      <c r="AI540" s="6">
        <f>AH540/AH601</f>
        <v>3.4482758620689655E-2</v>
      </c>
      <c r="AJ540" s="6">
        <f>8/$AJ$3</f>
        <v>3.2388663967611336E-2</v>
      </c>
      <c r="AL540">
        <v>10</v>
      </c>
      <c r="AM540" s="6">
        <f>AL540/AL601</f>
        <v>4.5871559633027525E-2</v>
      </c>
      <c r="AN540" s="6">
        <f>10/$AN$3</f>
        <v>4.3103448275862072E-2</v>
      </c>
      <c r="AP540">
        <v>7</v>
      </c>
      <c r="AQ540" s="6">
        <f>AP540/AP601</f>
        <v>4.142011834319527E-2</v>
      </c>
      <c r="AR540" s="6">
        <f>7/$AR$3</f>
        <v>3.7634408602150539E-2</v>
      </c>
      <c r="AT540">
        <v>7</v>
      </c>
      <c r="AU540" s="6">
        <f>AT540/AT601</f>
        <v>5.9829059829059832E-2</v>
      </c>
      <c r="AV540" s="6">
        <f>7/$AV$3</f>
        <v>5.6451612903225805E-2</v>
      </c>
      <c r="AX540">
        <v>17</v>
      </c>
      <c r="AY540" s="6">
        <f>AX540/AX601</f>
        <v>4.3037974683544304E-2</v>
      </c>
      <c r="AZ540" s="6">
        <f>17/$AZ$3</f>
        <v>3.9534883720930232E-2</v>
      </c>
      <c r="BB540">
        <v>14</v>
      </c>
      <c r="BC540" s="6">
        <f>BB540/BB601</f>
        <v>3.4567901234567898E-2</v>
      </c>
      <c r="BD540" s="6">
        <f>14/$BD$3</f>
        <v>3.2710280373831772E-2</v>
      </c>
      <c r="BF540">
        <v>7</v>
      </c>
      <c r="BG540" s="6">
        <f>BF540/BF601</f>
        <v>3.0434782608695653E-2</v>
      </c>
      <c r="BH540" s="6">
        <f>7/$BH$3</f>
        <v>2.8925619834710745E-2</v>
      </c>
      <c r="BJ540">
        <v>13</v>
      </c>
      <c r="BK540" s="6">
        <f>BJ540/BJ601</f>
        <v>3.4852546916890083E-2</v>
      </c>
      <c r="BL540" s="6">
        <f>13/$BL$3</f>
        <v>3.2258064516129031E-2</v>
      </c>
      <c r="BN540">
        <v>15</v>
      </c>
      <c r="BO540" s="6">
        <f>BN540/BN601</f>
        <v>3.8167938931297711E-2</v>
      </c>
      <c r="BP540" s="6">
        <f>15/$BP$3</f>
        <v>3.5460992907801421E-2</v>
      </c>
      <c r="BR540">
        <v>10</v>
      </c>
      <c r="BS540" s="6">
        <f>BR540/BR601</f>
        <v>3.787878787878788E-2</v>
      </c>
      <c r="BT540" s="6">
        <f>10/$BT$3</f>
        <v>3.6496350364963501E-2</v>
      </c>
      <c r="BV540">
        <v>7</v>
      </c>
      <c r="BW540" s="6">
        <f>BV540/BV601</f>
        <v>2.4475524475524476E-2</v>
      </c>
      <c r="BX540" s="6">
        <f>7/$BX$3</f>
        <v>2.2950819672131147E-2</v>
      </c>
      <c r="BZ540">
        <v>9</v>
      </c>
      <c r="CA540" s="6">
        <f>BZ540/BZ601</f>
        <v>4.2654028436018961E-2</v>
      </c>
      <c r="CB540" s="6">
        <f>9/$CB$3</f>
        <v>4.0178571428571432E-2</v>
      </c>
      <c r="CD540">
        <v>10</v>
      </c>
      <c r="CE540" s="6">
        <f>CD540/CD601</f>
        <v>4.4843049327354258E-2</v>
      </c>
      <c r="CF540" s="6">
        <f>10/$CF$3</f>
        <v>4.1493775933609957E-2</v>
      </c>
      <c r="CH540">
        <v>12</v>
      </c>
      <c r="CI540" s="6">
        <f>CH540/CH601</f>
        <v>3.870967741935484E-2</v>
      </c>
      <c r="CJ540" s="6">
        <f>12/$CJ$3</f>
        <v>3.6363636363636362E-2</v>
      </c>
    </row>
    <row r="541" spans="1:88" x14ac:dyDescent="0.35">
      <c r="A541" s="1" t="s">
        <v>1581</v>
      </c>
      <c r="B541">
        <v>30</v>
      </c>
      <c r="C541" s="6">
        <f>B541/B601</f>
        <v>2.9126213592233011E-2</v>
      </c>
      <c r="D541" s="6">
        <f>30/$D$3</f>
        <v>2.7272727272727271E-2</v>
      </c>
      <c r="F541">
        <v>27</v>
      </c>
      <c r="G541" s="6">
        <f>F541/F601</f>
        <v>3.1105990783410139E-2</v>
      </c>
      <c r="H541" s="6">
        <f>27/$H$3</f>
        <v>2.9637760702524697E-2</v>
      </c>
      <c r="J541">
        <v>12</v>
      </c>
      <c r="K541" s="6">
        <f>J541/J601</f>
        <v>2.8571428571428571E-2</v>
      </c>
      <c r="L541" s="6">
        <f>12/$L$3</f>
        <v>2.7649769585253458E-2</v>
      </c>
      <c r="N541">
        <v>4</v>
      </c>
      <c r="O541" s="6">
        <f>N541/N601</f>
        <v>5.1948051948051951E-2</v>
      </c>
      <c r="P541" s="6">
        <f>4/$P$3</f>
        <v>4.9382716049382713E-2</v>
      </c>
      <c r="R541">
        <v>19</v>
      </c>
      <c r="S541" s="6">
        <f>R541/R601</f>
        <v>3.6259541984732822E-2</v>
      </c>
      <c r="T541" s="6">
        <f>19/$T$3</f>
        <v>3.3928571428571426E-2</v>
      </c>
      <c r="V541">
        <v>11</v>
      </c>
      <c r="W541" s="6">
        <f>V541/V601</f>
        <v>2.1739130434782608E-2</v>
      </c>
      <c r="X541" s="6">
        <f>11/$X$3</f>
        <v>2.0370370370370372E-2</v>
      </c>
      <c r="Z541">
        <v>4</v>
      </c>
      <c r="AA541" s="6">
        <f>Z541/Z601</f>
        <v>3.7735849056603772E-2</v>
      </c>
      <c r="AB541" s="6">
        <f>4/$AB$3</f>
        <v>3.5398230088495575E-2</v>
      </c>
      <c r="AD541">
        <v>12</v>
      </c>
      <c r="AE541" s="6">
        <f>AD541/AD601</f>
        <v>6.3829787234042548E-2</v>
      </c>
      <c r="AF541" s="6">
        <f>12/$AF$3</f>
        <v>6.0606060606060608E-2</v>
      </c>
      <c r="AH541">
        <v>4</v>
      </c>
      <c r="AI541" s="6">
        <f>AH541/AH601</f>
        <v>1.7241379310344827E-2</v>
      </c>
      <c r="AJ541" s="6">
        <f>4/$AJ$3</f>
        <v>1.6194331983805668E-2</v>
      </c>
      <c r="AL541">
        <v>6</v>
      </c>
      <c r="AM541" s="6">
        <f>AL541/AL601</f>
        <v>2.7522935779816515E-2</v>
      </c>
      <c r="AN541" s="6">
        <f>6/$AN$3</f>
        <v>2.5862068965517241E-2</v>
      </c>
      <c r="AP541">
        <v>2</v>
      </c>
      <c r="AQ541" s="6">
        <f>AP541/AP601</f>
        <v>1.1834319526627219E-2</v>
      </c>
      <c r="AR541" s="6">
        <f>2/$AR$3</f>
        <v>1.0752688172043012E-2</v>
      </c>
      <c r="AT541">
        <v>2</v>
      </c>
      <c r="AU541" s="6">
        <f>AT541/AT601</f>
        <v>1.7094017094017096E-2</v>
      </c>
      <c r="AV541" s="6">
        <f>2/$AV$3</f>
        <v>1.6129032258064516E-2</v>
      </c>
      <c r="AX541">
        <v>13</v>
      </c>
      <c r="AY541" s="6">
        <f>AX541/AX601</f>
        <v>3.2911392405063293E-2</v>
      </c>
      <c r="AZ541" s="6">
        <f>13/$AZ$3</f>
        <v>3.0232558139534883E-2</v>
      </c>
      <c r="BB541">
        <v>10</v>
      </c>
      <c r="BC541" s="6">
        <f>BB541/BB601</f>
        <v>2.4691358024691357E-2</v>
      </c>
      <c r="BD541" s="6">
        <f>10/$BD$3</f>
        <v>2.336448598130841E-2</v>
      </c>
      <c r="BF541">
        <v>7</v>
      </c>
      <c r="BG541" s="6">
        <f>BF541/BF601</f>
        <v>3.0434782608695653E-2</v>
      </c>
      <c r="BH541" s="6">
        <f>7/$BH$3</f>
        <v>2.8925619834710745E-2</v>
      </c>
      <c r="BJ541">
        <v>12</v>
      </c>
      <c r="BK541" s="6">
        <f>BJ541/BJ601</f>
        <v>3.2171581769436998E-2</v>
      </c>
      <c r="BL541" s="6">
        <f>12/$BL$3</f>
        <v>2.9776674937965261E-2</v>
      </c>
      <c r="BN541">
        <v>11</v>
      </c>
      <c r="BO541" s="6">
        <f>BN541/BN601</f>
        <v>2.7989821882951654E-2</v>
      </c>
      <c r="BP541" s="6">
        <f>11/$BP$3</f>
        <v>2.6004728132387706E-2</v>
      </c>
      <c r="BR541">
        <v>7</v>
      </c>
      <c r="BS541" s="6">
        <f>BR541/BR601</f>
        <v>2.6515151515151516E-2</v>
      </c>
      <c r="BT541" s="6">
        <f>7/$BT$3</f>
        <v>2.5547445255474453E-2</v>
      </c>
      <c r="BV541">
        <v>11</v>
      </c>
      <c r="BW541" s="6">
        <f>BV541/BV601</f>
        <v>3.8461538461538464E-2</v>
      </c>
      <c r="BX541" s="6">
        <f>11/$BX$3</f>
        <v>3.6065573770491806E-2</v>
      </c>
      <c r="BZ541">
        <v>6</v>
      </c>
      <c r="CA541" s="6">
        <f>BZ541/BZ601</f>
        <v>2.843601895734597E-2</v>
      </c>
      <c r="CB541" s="6">
        <f>6/$CB$3</f>
        <v>2.6785714285714284E-2</v>
      </c>
      <c r="CD541">
        <v>5</v>
      </c>
      <c r="CE541" s="6">
        <f>CD541/CD601</f>
        <v>2.2421524663677129E-2</v>
      </c>
      <c r="CF541" s="6">
        <f>5/$CF$3</f>
        <v>2.0746887966804978E-2</v>
      </c>
      <c r="CH541">
        <v>8</v>
      </c>
      <c r="CI541" s="6">
        <f>CH541/CH601</f>
        <v>2.5806451612903226E-2</v>
      </c>
      <c r="CJ541" s="6">
        <f>8/$CJ$3</f>
        <v>2.4242424242424242E-2</v>
      </c>
    </row>
    <row r="542" spans="1:88" x14ac:dyDescent="0.35">
      <c r="A542" s="1" t="s">
        <v>1582</v>
      </c>
      <c r="B542">
        <v>126</v>
      </c>
      <c r="C542" s="6">
        <f>B542/B601</f>
        <v>0.12233009708737864</v>
      </c>
      <c r="D542" s="6">
        <f>126/$D$3</f>
        <v>0.11454545454545455</v>
      </c>
      <c r="F542">
        <v>112</v>
      </c>
      <c r="G542" s="6">
        <f>F542/F601</f>
        <v>0.12903225806451613</v>
      </c>
      <c r="H542" s="6">
        <f>112/$H$3</f>
        <v>0.12294182217343579</v>
      </c>
      <c r="J542">
        <v>48</v>
      </c>
      <c r="K542" s="6">
        <f>J542/J601</f>
        <v>0.11428571428571428</v>
      </c>
      <c r="L542" s="6">
        <f>48/$L$3</f>
        <v>0.11059907834101383</v>
      </c>
      <c r="N542">
        <v>10</v>
      </c>
      <c r="O542" s="6">
        <f>N542/N601</f>
        <v>0.12987012987012986</v>
      </c>
      <c r="P542" s="6">
        <f>10/$P$3</f>
        <v>0.12345679012345678</v>
      </c>
      <c r="R542">
        <v>53</v>
      </c>
      <c r="S542" s="6">
        <f>R542/R601</f>
        <v>0.10114503816793893</v>
      </c>
      <c r="T542" s="6">
        <f>53/$T$3</f>
        <v>9.464285714285714E-2</v>
      </c>
      <c r="V542">
        <v>73</v>
      </c>
      <c r="W542" s="6">
        <f>V542/V601</f>
        <v>0.14426877470355731</v>
      </c>
      <c r="X542" s="6">
        <f>73/$X$3</f>
        <v>0.13518518518518519</v>
      </c>
      <c r="Z542">
        <v>14</v>
      </c>
      <c r="AA542" s="6">
        <f>Z542/Z601</f>
        <v>0.13207547169811321</v>
      </c>
      <c r="AB542" s="6">
        <f>14/$AB$3</f>
        <v>0.12389380530973451</v>
      </c>
      <c r="AD542">
        <v>29</v>
      </c>
      <c r="AE542" s="6">
        <f>AD542/AD601</f>
        <v>0.15425531914893617</v>
      </c>
      <c r="AF542" s="6">
        <f>29/$AF$3</f>
        <v>0.14646464646464646</v>
      </c>
      <c r="AH542">
        <v>22</v>
      </c>
      <c r="AI542" s="6">
        <f>AH542/AH601</f>
        <v>9.4827586206896547E-2</v>
      </c>
      <c r="AJ542" s="6">
        <f>22/$AJ$3</f>
        <v>8.9068825910931168E-2</v>
      </c>
      <c r="AL542">
        <v>25</v>
      </c>
      <c r="AM542" s="6">
        <f>AL542/AL601</f>
        <v>0.11467889908256881</v>
      </c>
      <c r="AN542" s="6">
        <f>25/$AN$3</f>
        <v>0.10775862068965517</v>
      </c>
      <c r="AP542">
        <v>22</v>
      </c>
      <c r="AQ542" s="6">
        <f>AP542/AP601</f>
        <v>0.13017751479289941</v>
      </c>
      <c r="AR542" s="6">
        <f>22/$AR$3</f>
        <v>0.11827956989247312</v>
      </c>
      <c r="AT542">
        <v>14</v>
      </c>
      <c r="AU542" s="6">
        <f>AT542/AT601</f>
        <v>0.11965811965811966</v>
      </c>
      <c r="AV542" s="6">
        <f>14/$AV$3</f>
        <v>0.11290322580645161</v>
      </c>
      <c r="AX542">
        <v>53</v>
      </c>
      <c r="AY542" s="6">
        <f>AX542/AX601</f>
        <v>0.13417721518987341</v>
      </c>
      <c r="AZ542" s="6">
        <f>53/$AZ$3</f>
        <v>0.12325581395348838</v>
      </c>
      <c r="BB542">
        <v>52</v>
      </c>
      <c r="BC542" s="6">
        <f>BB542/BB601</f>
        <v>0.12839506172839507</v>
      </c>
      <c r="BD542" s="6">
        <f>52/$BD$3</f>
        <v>0.12149532710280374</v>
      </c>
      <c r="BF542">
        <v>21</v>
      </c>
      <c r="BG542" s="6">
        <f>BF542/BF601</f>
        <v>9.1304347826086957E-2</v>
      </c>
      <c r="BH542" s="6">
        <f>21/$BH$3</f>
        <v>8.6776859504132234E-2</v>
      </c>
      <c r="BJ542">
        <v>46</v>
      </c>
      <c r="BK542" s="6">
        <f>BJ542/BJ601</f>
        <v>0.12332439678284182</v>
      </c>
      <c r="BL542" s="6">
        <f>46/$BL$3</f>
        <v>0.11414392059553349</v>
      </c>
      <c r="BN542">
        <v>53</v>
      </c>
      <c r="BO542" s="6">
        <f>BN542/BN601</f>
        <v>0.13486005089058525</v>
      </c>
      <c r="BP542" s="6">
        <f>53/$BP$3</f>
        <v>0.12529550827423167</v>
      </c>
      <c r="BR542">
        <v>27</v>
      </c>
      <c r="BS542" s="6">
        <f>BR542/BR601</f>
        <v>0.10227272727272728</v>
      </c>
      <c r="BT542" s="6">
        <f>27/$BT$3</f>
        <v>9.8540145985401464E-2</v>
      </c>
      <c r="BV542">
        <v>35</v>
      </c>
      <c r="BW542" s="6">
        <f>BV542/BV601</f>
        <v>0.12237762237762238</v>
      </c>
      <c r="BX542" s="6">
        <f>35/$BX$3</f>
        <v>0.11475409836065574</v>
      </c>
      <c r="BZ542">
        <v>30</v>
      </c>
      <c r="CA542" s="6">
        <f>BZ542/BZ601</f>
        <v>0.14218009478672985</v>
      </c>
      <c r="CB542" s="6">
        <f>30/$CB$3</f>
        <v>0.13392857142857142</v>
      </c>
      <c r="CD542">
        <v>26</v>
      </c>
      <c r="CE542" s="6">
        <f>CD542/CD601</f>
        <v>0.11659192825112108</v>
      </c>
      <c r="CF542" s="6">
        <f>26/$CF$3</f>
        <v>0.1078838174273859</v>
      </c>
      <c r="CH542">
        <v>35</v>
      </c>
      <c r="CI542" s="6">
        <f>CH542/CH601</f>
        <v>0.11290322580645161</v>
      </c>
      <c r="CJ542" s="6">
        <f>35/$CJ$3</f>
        <v>0.10606060606060606</v>
      </c>
    </row>
    <row r="543" spans="1:88" x14ac:dyDescent="0.35">
      <c r="A543" s="1" t="s">
        <v>1583</v>
      </c>
      <c r="B543">
        <v>39</v>
      </c>
      <c r="C543" s="6">
        <f>B543/B601</f>
        <v>3.7864077669902914E-2</v>
      </c>
      <c r="D543" s="6">
        <f>39/$D$3</f>
        <v>3.5454545454545454E-2</v>
      </c>
      <c r="F543">
        <v>32</v>
      </c>
      <c r="G543" s="6">
        <f>F543/F601</f>
        <v>3.6866359447004608E-2</v>
      </c>
      <c r="H543" s="6">
        <f>32/$H$3</f>
        <v>3.512623490669594E-2</v>
      </c>
      <c r="J543">
        <v>14</v>
      </c>
      <c r="K543" s="6">
        <f>J543/J601</f>
        <v>3.3333333333333333E-2</v>
      </c>
      <c r="L543" s="6">
        <f>14/$L$3</f>
        <v>3.2258064516129031E-2</v>
      </c>
      <c r="N543">
        <v>8</v>
      </c>
      <c r="O543" s="6">
        <f>N543/N601</f>
        <v>0.1038961038961039</v>
      </c>
      <c r="P543" s="6">
        <f>8/$P$3</f>
        <v>9.8765432098765427E-2</v>
      </c>
      <c r="R543">
        <v>19</v>
      </c>
      <c r="S543" s="6">
        <f>R543/R601</f>
        <v>3.6259541984732822E-2</v>
      </c>
      <c r="T543" s="6">
        <f>19/$T$3</f>
        <v>3.3928571428571426E-2</v>
      </c>
      <c r="V543">
        <v>20</v>
      </c>
      <c r="W543" s="6">
        <f>V543/V601</f>
        <v>3.9525691699604744E-2</v>
      </c>
      <c r="X543" s="6">
        <f>20/$X$3</f>
        <v>3.7037037037037035E-2</v>
      </c>
      <c r="Z543">
        <v>8</v>
      </c>
      <c r="AA543" s="6">
        <f>Z543/Z601</f>
        <v>7.5471698113207544E-2</v>
      </c>
      <c r="AB543" s="6">
        <f>8/$AB$3</f>
        <v>7.0796460176991149E-2</v>
      </c>
      <c r="AD543">
        <v>8</v>
      </c>
      <c r="AE543" s="6">
        <f>AD543/AD601</f>
        <v>4.2553191489361701E-2</v>
      </c>
      <c r="AF543" s="6">
        <f>8/$AF$3</f>
        <v>4.0404040404040407E-2</v>
      </c>
      <c r="AH543">
        <v>6</v>
      </c>
      <c r="AI543" s="6">
        <f>AH543/AH601</f>
        <v>2.5862068965517241E-2</v>
      </c>
      <c r="AJ543" s="6">
        <f>6/$AJ$3</f>
        <v>2.4291497975708502E-2</v>
      </c>
      <c r="AL543">
        <v>9</v>
      </c>
      <c r="AM543" s="6">
        <f>AL543/AL601</f>
        <v>4.1284403669724773E-2</v>
      </c>
      <c r="AN543" s="6">
        <f>9/$AN$3</f>
        <v>3.8793103448275863E-2</v>
      </c>
      <c r="AP543">
        <v>4</v>
      </c>
      <c r="AQ543" s="6">
        <f>AP543/AP601</f>
        <v>2.3668639053254437E-2</v>
      </c>
      <c r="AR543" s="6">
        <f>4/$AR$3</f>
        <v>2.1505376344086023E-2</v>
      </c>
      <c r="AT543">
        <v>4</v>
      </c>
      <c r="AU543" s="6">
        <f>AT543/AT601</f>
        <v>3.4188034188034191E-2</v>
      </c>
      <c r="AV543" s="6">
        <f>4/$AV$3</f>
        <v>3.2258064516129031E-2</v>
      </c>
      <c r="AX543">
        <v>18</v>
      </c>
      <c r="AY543" s="6">
        <f>AX543/AX601</f>
        <v>4.5569620253164557E-2</v>
      </c>
      <c r="AZ543" s="6">
        <f>18/$AZ$3</f>
        <v>4.1860465116279069E-2</v>
      </c>
      <c r="BB543">
        <v>12</v>
      </c>
      <c r="BC543" s="6">
        <f>BB543/BB601</f>
        <v>2.9629629629629631E-2</v>
      </c>
      <c r="BD543" s="6">
        <f>12/$BD$3</f>
        <v>2.8037383177570093E-2</v>
      </c>
      <c r="BF543">
        <v>9</v>
      </c>
      <c r="BG543" s="6">
        <f>BF543/BF601</f>
        <v>3.9130434782608699E-2</v>
      </c>
      <c r="BH543" s="6">
        <f>9/$BH$3</f>
        <v>3.71900826446281E-2</v>
      </c>
      <c r="BJ543">
        <v>14</v>
      </c>
      <c r="BK543" s="6">
        <f>BJ543/BJ601</f>
        <v>3.7533512064343161E-2</v>
      </c>
      <c r="BL543" s="6">
        <f>14/$BL$3</f>
        <v>3.4739454094292806E-2</v>
      </c>
      <c r="BN543">
        <v>18</v>
      </c>
      <c r="BO543" s="6">
        <f>BN543/BN601</f>
        <v>4.5801526717557252E-2</v>
      </c>
      <c r="BP543" s="6">
        <f>18/$BP$3</f>
        <v>4.2553191489361701E-2</v>
      </c>
      <c r="BR543">
        <v>7</v>
      </c>
      <c r="BS543" s="6">
        <f>BR543/BR601</f>
        <v>2.6515151515151516E-2</v>
      </c>
      <c r="BT543" s="6">
        <f>7/$BT$3</f>
        <v>2.5547445255474453E-2</v>
      </c>
      <c r="BV543">
        <v>11</v>
      </c>
      <c r="BW543" s="6">
        <f>BV543/BV601</f>
        <v>3.8461538461538464E-2</v>
      </c>
      <c r="BX543" s="6">
        <f>11/$BX$3</f>
        <v>3.6065573770491806E-2</v>
      </c>
      <c r="BZ543">
        <v>7</v>
      </c>
      <c r="CA543" s="6">
        <f>BZ543/BZ601</f>
        <v>3.3175355450236969E-2</v>
      </c>
      <c r="CB543" s="6">
        <f>7/$CB$3</f>
        <v>3.125E-2</v>
      </c>
      <c r="CD543">
        <v>10</v>
      </c>
      <c r="CE543" s="6">
        <f>CD543/CD601</f>
        <v>4.4843049327354258E-2</v>
      </c>
      <c r="CF543" s="6">
        <f>10/$CF$3</f>
        <v>4.1493775933609957E-2</v>
      </c>
      <c r="CH543">
        <v>11</v>
      </c>
      <c r="CI543" s="6">
        <f>CH543/CH601</f>
        <v>3.5483870967741936E-2</v>
      </c>
      <c r="CJ543" s="6">
        <f>11/$CJ$3</f>
        <v>3.3333333333333333E-2</v>
      </c>
    </row>
    <row r="544" spans="1:88" x14ac:dyDescent="0.35">
      <c r="A544" s="1" t="s">
        <v>1584</v>
      </c>
      <c r="B544">
        <v>349</v>
      </c>
      <c r="C544" s="6">
        <f>B544/B601</f>
        <v>0.33883495145631071</v>
      </c>
      <c r="D544" s="6">
        <f>349/$D$3</f>
        <v>0.31727272727272726</v>
      </c>
      <c r="F544">
        <v>263</v>
      </c>
      <c r="G544" s="6">
        <f>F544/F601</f>
        <v>0.30299539170506912</v>
      </c>
      <c r="H544" s="6">
        <f>263/$H$3</f>
        <v>0.28869374313940727</v>
      </c>
      <c r="J544">
        <v>114</v>
      </c>
      <c r="K544" s="6">
        <f>J544/J601</f>
        <v>0.27142857142857141</v>
      </c>
      <c r="L544" s="8">
        <f>114/$L$3</f>
        <v>0.26267281105990781</v>
      </c>
      <c r="N544">
        <v>18</v>
      </c>
      <c r="O544" s="6">
        <f>N544/N601</f>
        <v>0.23376623376623376</v>
      </c>
      <c r="P544" s="6">
        <f>18/$P$3</f>
        <v>0.22222222222222221</v>
      </c>
      <c r="R544">
        <v>158</v>
      </c>
      <c r="S544" s="6">
        <f>R544/R601</f>
        <v>0.30152671755725191</v>
      </c>
      <c r="T544" s="6">
        <f>158/$T$3</f>
        <v>0.28214285714285714</v>
      </c>
      <c r="V544">
        <v>191</v>
      </c>
      <c r="W544" s="6">
        <f>V544/V601</f>
        <v>0.37747035573122528</v>
      </c>
      <c r="X544" s="6">
        <f>191/$X$3</f>
        <v>0.35370370370370369</v>
      </c>
      <c r="Z544">
        <v>27</v>
      </c>
      <c r="AA544" s="6">
        <f>Z544/Z601</f>
        <v>0.25471698113207547</v>
      </c>
      <c r="AB544" s="6">
        <f>27/$AB$3</f>
        <v>0.23893805309734514</v>
      </c>
      <c r="AD544">
        <v>57</v>
      </c>
      <c r="AE544" s="6">
        <f>AD544/AD601</f>
        <v>0.30319148936170215</v>
      </c>
      <c r="AF544" s="6">
        <f>57/$AF$3</f>
        <v>0.2878787878787879</v>
      </c>
      <c r="AH544">
        <v>81</v>
      </c>
      <c r="AI544" s="6">
        <f>AH544/AH601</f>
        <v>0.34913793103448276</v>
      </c>
      <c r="AJ544" s="6">
        <f>81/$AJ$3</f>
        <v>0.32793522267206476</v>
      </c>
      <c r="AL544">
        <v>65</v>
      </c>
      <c r="AM544" s="6">
        <f>AL544/AL601</f>
        <v>0.29816513761467889</v>
      </c>
      <c r="AN544" s="6">
        <f>65/$AN$3</f>
        <v>0.28017241379310343</v>
      </c>
      <c r="AP544">
        <v>69</v>
      </c>
      <c r="AQ544" s="6">
        <f>AP544/AP601</f>
        <v>0.40828402366863903</v>
      </c>
      <c r="AR544" s="6">
        <f>69/$AR$3</f>
        <v>0.37096774193548387</v>
      </c>
      <c r="AT544">
        <v>50</v>
      </c>
      <c r="AU544" s="6">
        <f>AT544/AT601</f>
        <v>0.42735042735042733</v>
      </c>
      <c r="AV544" s="9">
        <f>50/$AV$3</f>
        <v>0.40322580645161288</v>
      </c>
      <c r="AX544">
        <v>121</v>
      </c>
      <c r="AY544" s="6">
        <f>AX544/AX601</f>
        <v>0.30632911392405066</v>
      </c>
      <c r="AZ544" s="6">
        <f>121/$AZ$3</f>
        <v>0.28139534883720929</v>
      </c>
      <c r="BB544">
        <v>136</v>
      </c>
      <c r="BC544" s="6">
        <f>BB544/BB601</f>
        <v>0.33580246913580247</v>
      </c>
      <c r="BD544" s="6">
        <f>136/$BD$3</f>
        <v>0.31775700934579437</v>
      </c>
      <c r="BF544">
        <v>92</v>
      </c>
      <c r="BG544" s="6">
        <f>BF544/BF601</f>
        <v>0.4</v>
      </c>
      <c r="BH544" s="9">
        <f>92/$BH$3</f>
        <v>0.38016528925619836</v>
      </c>
      <c r="BJ544">
        <v>123</v>
      </c>
      <c r="BK544" s="6">
        <f>BJ544/BJ601</f>
        <v>0.32975871313672922</v>
      </c>
      <c r="BL544" s="6">
        <f>123/$BL$3</f>
        <v>0.30521091811414391</v>
      </c>
      <c r="BN544">
        <v>137</v>
      </c>
      <c r="BO544" s="6">
        <f>BN544/BN601</f>
        <v>0.34860050890585242</v>
      </c>
      <c r="BP544" s="6">
        <f>137/$BP$3</f>
        <v>0.32387706855791965</v>
      </c>
      <c r="BR544">
        <v>89</v>
      </c>
      <c r="BS544" s="6">
        <f>BR544/BR601</f>
        <v>0.3371212121212121</v>
      </c>
      <c r="BT544" s="6">
        <f>89/$BT$3</f>
        <v>0.32481751824817517</v>
      </c>
      <c r="BV544">
        <v>106</v>
      </c>
      <c r="BW544" s="6">
        <f>BV544/BV601</f>
        <v>0.37062937062937062</v>
      </c>
      <c r="BX544" s="6">
        <f>106/$BX$3</f>
        <v>0.34754098360655739</v>
      </c>
      <c r="BZ544">
        <v>66</v>
      </c>
      <c r="CA544" s="6">
        <f>BZ544/BZ601</f>
        <v>0.3127962085308057</v>
      </c>
      <c r="CB544" s="6">
        <f>66/$CB$3</f>
        <v>0.29464285714285715</v>
      </c>
      <c r="CD544">
        <v>70</v>
      </c>
      <c r="CE544" s="6">
        <f>CD544/CD601</f>
        <v>0.31390134529147984</v>
      </c>
      <c r="CF544" s="6">
        <f>70/$CF$3</f>
        <v>0.29045643153526973</v>
      </c>
      <c r="CH544">
        <v>107</v>
      </c>
      <c r="CI544" s="6">
        <f>CH544/CH601</f>
        <v>0.34516129032258064</v>
      </c>
      <c r="CJ544" s="6">
        <f>107/$CJ$3</f>
        <v>0.32424242424242422</v>
      </c>
    </row>
    <row r="546" spans="1:88" x14ac:dyDescent="0.35">
      <c r="A546" s="1" t="s">
        <v>1585</v>
      </c>
      <c r="B546">
        <v>154</v>
      </c>
      <c r="C546" s="6">
        <f>B546/B601</f>
        <v>0.14951456310679612</v>
      </c>
      <c r="D546" s="6">
        <f>154/$D$3</f>
        <v>0.14000000000000001</v>
      </c>
      <c r="F546">
        <v>139</v>
      </c>
      <c r="G546" s="6">
        <f>F546/F601</f>
        <v>0.16013824884792627</v>
      </c>
      <c r="H546" s="6">
        <f>139/$H$3</f>
        <v>0.15257958287596049</v>
      </c>
      <c r="J546">
        <v>74</v>
      </c>
      <c r="K546" s="6">
        <f>J546/J601</f>
        <v>0.1761904761904762</v>
      </c>
      <c r="L546" s="6">
        <f>74/$L$3</f>
        <v>0.17050691244239632</v>
      </c>
      <c r="N546">
        <v>19</v>
      </c>
      <c r="O546" s="6">
        <f>N546/N601</f>
        <v>0.24675324675324675</v>
      </c>
      <c r="P546" s="9">
        <f>19/$P$3</f>
        <v>0.23456790123456789</v>
      </c>
      <c r="R546">
        <v>63</v>
      </c>
      <c r="S546" s="6">
        <f>R546/R601</f>
        <v>0.12022900763358779</v>
      </c>
      <c r="T546" s="6">
        <f>63/$T$3</f>
        <v>0.1125</v>
      </c>
      <c r="V546">
        <v>91</v>
      </c>
      <c r="W546" s="6">
        <f>V546/V601</f>
        <v>0.17984189723320157</v>
      </c>
      <c r="X546" s="6">
        <f>91/$X$3</f>
        <v>0.16851851851851851</v>
      </c>
      <c r="Z546">
        <v>33</v>
      </c>
      <c r="AA546" s="6">
        <f>Z546/Z601</f>
        <v>0.31132075471698112</v>
      </c>
      <c r="AB546" s="9">
        <f>33/$AB$3</f>
        <v>0.29203539823008851</v>
      </c>
      <c r="AC546" s="7"/>
      <c r="AD546">
        <v>29</v>
      </c>
      <c r="AE546" s="6">
        <f>AD546/AD601</f>
        <v>0.15425531914893617</v>
      </c>
      <c r="AF546" s="6">
        <f>29/$AF$3</f>
        <v>0.14646464646464646</v>
      </c>
      <c r="AH546">
        <v>36</v>
      </c>
      <c r="AI546" s="6">
        <f>AH546/AH601</f>
        <v>0.15517241379310345</v>
      </c>
      <c r="AJ546" s="6">
        <f>36/$AJ$3</f>
        <v>0.145748987854251</v>
      </c>
      <c r="AL546">
        <v>27</v>
      </c>
      <c r="AM546" s="6">
        <f>AL546/AL601</f>
        <v>0.12385321100917432</v>
      </c>
      <c r="AN546" s="6">
        <f>27/$AN$3</f>
        <v>0.11637931034482758</v>
      </c>
      <c r="AP546">
        <v>19</v>
      </c>
      <c r="AQ546" s="6">
        <f>AP546/AP601</f>
        <v>0.11242603550295859</v>
      </c>
      <c r="AR546" s="6">
        <f>19/$AR$3</f>
        <v>0.10215053763440861</v>
      </c>
      <c r="AT546">
        <v>10</v>
      </c>
      <c r="AU546" s="6">
        <f>AT546/AT601</f>
        <v>8.5470085470085472E-2</v>
      </c>
      <c r="AV546" s="8">
        <f>10/$AV$3</f>
        <v>8.0645161290322578E-2</v>
      </c>
      <c r="AX546">
        <v>71</v>
      </c>
      <c r="AY546" s="6">
        <f>AX546/AX601</f>
        <v>0.17974683544303796</v>
      </c>
      <c r="AZ546" s="6">
        <f>71/$AZ$3</f>
        <v>0.16511627906976745</v>
      </c>
      <c r="BB546">
        <v>58</v>
      </c>
      <c r="BC546" s="6">
        <f>BB546/BB601</f>
        <v>0.14320987654320988</v>
      </c>
      <c r="BD546" s="6">
        <f>58/$BD$3</f>
        <v>0.13551401869158877</v>
      </c>
      <c r="BF546">
        <v>25</v>
      </c>
      <c r="BG546" s="6">
        <f>BF546/BF601</f>
        <v>0.10869565217391304</v>
      </c>
      <c r="BH546" s="6">
        <f>25/$BH$3</f>
        <v>0.10330578512396695</v>
      </c>
      <c r="BJ546">
        <v>65</v>
      </c>
      <c r="BK546" s="6">
        <f>BJ546/BJ601</f>
        <v>0.17426273458445041</v>
      </c>
      <c r="BL546" s="6">
        <f>65/$BL$3</f>
        <v>0.16129032258064516</v>
      </c>
      <c r="BN546">
        <v>55</v>
      </c>
      <c r="BO546" s="6">
        <f>BN546/BN601</f>
        <v>0.13994910941475827</v>
      </c>
      <c r="BP546" s="6">
        <f>55/$BP$3</f>
        <v>0.13002364066193853</v>
      </c>
      <c r="BR546">
        <v>34</v>
      </c>
      <c r="BS546" s="6">
        <f>BR546/BR601</f>
        <v>0.12878787878787878</v>
      </c>
      <c r="BT546" s="6">
        <f>34/$BT$3</f>
        <v>0.12408759124087591</v>
      </c>
      <c r="BV546">
        <v>43</v>
      </c>
      <c r="BW546" s="6">
        <f>BV546/BV601</f>
        <v>0.15034965034965034</v>
      </c>
      <c r="BX546" s="6">
        <f>43/$BX$3</f>
        <v>0.14098360655737704</v>
      </c>
      <c r="BZ546">
        <v>29</v>
      </c>
      <c r="CA546" s="6">
        <f>BZ546/BZ601</f>
        <v>0.13744075829383887</v>
      </c>
      <c r="CB546" s="6">
        <f>29/$CB$3</f>
        <v>0.12946428571428573</v>
      </c>
      <c r="CD546">
        <v>34</v>
      </c>
      <c r="CE546" s="6">
        <f>CD546/CD601</f>
        <v>0.15246636771300448</v>
      </c>
      <c r="CF546" s="6">
        <f>34/$CF$3</f>
        <v>0.14107883817427386</v>
      </c>
      <c r="CH546">
        <v>48</v>
      </c>
      <c r="CI546" s="6">
        <f>CH546/CH601</f>
        <v>0.15483870967741936</v>
      </c>
      <c r="CJ546" s="6">
        <f>48/$CJ$3</f>
        <v>0.14545454545454545</v>
      </c>
    </row>
    <row r="547" spans="1:88" x14ac:dyDescent="0.35">
      <c r="A547" s="1" t="s">
        <v>1586</v>
      </c>
      <c r="B547">
        <v>454</v>
      </c>
      <c r="C547" s="6">
        <f>B547/B601</f>
        <v>0.4407766990291262</v>
      </c>
      <c r="D547" s="6">
        <f>454/$D$3</f>
        <v>0.41272727272727272</v>
      </c>
      <c r="F547">
        <v>398</v>
      </c>
      <c r="G547" s="6">
        <f>F547/F601</f>
        <v>0.45852534562211983</v>
      </c>
      <c r="H547" s="6">
        <f>398/$H$3</f>
        <v>0.43688254665203075</v>
      </c>
      <c r="J547">
        <v>188</v>
      </c>
      <c r="K547" s="6">
        <f>J547/J601</f>
        <v>0.44761904761904764</v>
      </c>
      <c r="L547" s="6">
        <f>188/$L$3</f>
        <v>0.43317972350230416</v>
      </c>
      <c r="N547">
        <v>38</v>
      </c>
      <c r="O547" s="6">
        <f>N547/N601</f>
        <v>0.4935064935064935</v>
      </c>
      <c r="P547" s="6">
        <f>38/$P$3</f>
        <v>0.46913580246913578</v>
      </c>
      <c r="R547">
        <v>228</v>
      </c>
      <c r="S547" s="6">
        <f>R547/R601</f>
        <v>0.4351145038167939</v>
      </c>
      <c r="T547" s="6">
        <f>228/$T$3</f>
        <v>0.40714285714285714</v>
      </c>
      <c r="V547">
        <v>226</v>
      </c>
      <c r="W547" s="6">
        <f>V547/V601</f>
        <v>0.44664031620553357</v>
      </c>
      <c r="X547" s="6">
        <f>226/$X$3</f>
        <v>0.41851851851851851</v>
      </c>
      <c r="Z547">
        <v>61</v>
      </c>
      <c r="AA547" s="6">
        <f>Z547/Z601</f>
        <v>0.57547169811320753</v>
      </c>
      <c r="AB547" s="9">
        <f>61/$AB$3</f>
        <v>0.53982300884955747</v>
      </c>
      <c r="AC547" s="7"/>
      <c r="AD547">
        <v>91</v>
      </c>
      <c r="AE547" s="6">
        <f>AD547/AD601</f>
        <v>0.48404255319148937</v>
      </c>
      <c r="AF547" s="6">
        <f>91/$AF$3</f>
        <v>0.45959595959595961</v>
      </c>
      <c r="AH547">
        <v>95</v>
      </c>
      <c r="AI547" s="6">
        <f>AH547/AH601</f>
        <v>0.40948275862068967</v>
      </c>
      <c r="AJ547" s="6">
        <f>95/$AJ$3</f>
        <v>0.38461538461538464</v>
      </c>
      <c r="AL547">
        <v>93</v>
      </c>
      <c r="AM547" s="6">
        <f>AL547/AL601</f>
        <v>0.42660550458715596</v>
      </c>
      <c r="AN547" s="6">
        <f>93/$AN$3</f>
        <v>0.40086206896551724</v>
      </c>
      <c r="AP547">
        <v>70</v>
      </c>
      <c r="AQ547" s="6">
        <f>AP547/AP601</f>
        <v>0.41420118343195267</v>
      </c>
      <c r="AR547" s="6">
        <f>70/$AR$3</f>
        <v>0.37634408602150538</v>
      </c>
      <c r="AT547">
        <v>44</v>
      </c>
      <c r="AU547" s="6">
        <f>AT547/AT601</f>
        <v>0.37606837606837606</v>
      </c>
      <c r="AV547" s="6">
        <f>44/$AV$3</f>
        <v>0.35483870967741937</v>
      </c>
      <c r="AX547">
        <v>170</v>
      </c>
      <c r="AY547" s="6">
        <f>AX547/AX601</f>
        <v>0.43037974683544306</v>
      </c>
      <c r="AZ547" s="6">
        <f>170/$AZ$3</f>
        <v>0.39534883720930231</v>
      </c>
      <c r="BB547">
        <v>183</v>
      </c>
      <c r="BC547" s="6">
        <f>BB547/BB601</f>
        <v>0.45185185185185184</v>
      </c>
      <c r="BD547" s="6">
        <f>183/$BD$3</f>
        <v>0.42757009345794394</v>
      </c>
      <c r="BF547">
        <v>101</v>
      </c>
      <c r="BG547" s="6">
        <f>BF547/BF601</f>
        <v>0.43913043478260871</v>
      </c>
      <c r="BH547" s="6">
        <f>101/$BH$3</f>
        <v>0.41735537190082644</v>
      </c>
      <c r="BJ547">
        <v>161</v>
      </c>
      <c r="BK547" s="6">
        <f>BJ547/BJ601</f>
        <v>0.43163538873994639</v>
      </c>
      <c r="BL547" s="6">
        <f>161/$BL$3</f>
        <v>0.39950372208436724</v>
      </c>
      <c r="BN547">
        <v>165</v>
      </c>
      <c r="BO547" s="6">
        <f>BN547/BN601</f>
        <v>0.41984732824427479</v>
      </c>
      <c r="BP547" s="6">
        <f>165/$BP$3</f>
        <v>0.39007092198581561</v>
      </c>
      <c r="BR547">
        <v>128</v>
      </c>
      <c r="BS547" s="6">
        <f>BR547/BR601</f>
        <v>0.48484848484848486</v>
      </c>
      <c r="BT547" s="9">
        <f>128/$BT$3</f>
        <v>0.46715328467153283</v>
      </c>
      <c r="BV547">
        <v>119</v>
      </c>
      <c r="BW547" s="6">
        <f>BV547/BV601</f>
        <v>0.41608391608391609</v>
      </c>
      <c r="BX547" s="6">
        <f>119/$BX$3</f>
        <v>0.39016393442622949</v>
      </c>
      <c r="BZ547">
        <v>86</v>
      </c>
      <c r="CA547" s="6">
        <f>BZ547/BZ601</f>
        <v>0.40758293838862558</v>
      </c>
      <c r="CB547" s="6">
        <f>86/$CB$3</f>
        <v>0.38392857142857145</v>
      </c>
      <c r="CD547">
        <v>99</v>
      </c>
      <c r="CE547" s="6">
        <f>CD547/CD601</f>
        <v>0.44394618834080718</v>
      </c>
      <c r="CF547" s="6">
        <f>99/$CF$3</f>
        <v>0.41078838174273857</v>
      </c>
      <c r="CH547">
        <v>150</v>
      </c>
      <c r="CI547" s="6">
        <f>CH547/CH601</f>
        <v>0.4838709677419355</v>
      </c>
      <c r="CJ547" s="6">
        <f>150/$CJ$3</f>
        <v>0.45454545454545453</v>
      </c>
    </row>
    <row r="548" spans="1:88" x14ac:dyDescent="0.35">
      <c r="A548" s="1" t="s">
        <v>1587</v>
      </c>
      <c r="B548">
        <v>375</v>
      </c>
      <c r="C548" s="6">
        <f>B548/B601</f>
        <v>0.36407766990291263</v>
      </c>
      <c r="D548" s="6">
        <f>375/$D$3</f>
        <v>0.34090909090909088</v>
      </c>
      <c r="F548">
        <v>329</v>
      </c>
      <c r="G548" s="6">
        <f>F548/F601</f>
        <v>0.37903225806451613</v>
      </c>
      <c r="H548" s="6">
        <f>329/$H$3</f>
        <v>0.3611416026344676</v>
      </c>
      <c r="J548">
        <v>178</v>
      </c>
      <c r="K548" s="6">
        <f>J548/J601</f>
        <v>0.4238095238095238</v>
      </c>
      <c r="L548" s="9">
        <f>178/$L$3</f>
        <v>0.41013824884792627</v>
      </c>
      <c r="N548">
        <v>33</v>
      </c>
      <c r="O548" s="6">
        <f>N548/N601</f>
        <v>0.42857142857142855</v>
      </c>
      <c r="P548" s="6">
        <f>33/$P$3</f>
        <v>0.40740740740740738</v>
      </c>
      <c r="R548">
        <v>182</v>
      </c>
      <c r="S548" s="6">
        <f>R548/R601</f>
        <v>0.34732824427480918</v>
      </c>
      <c r="T548" s="6">
        <f>182/$T$3</f>
        <v>0.32500000000000001</v>
      </c>
      <c r="V548">
        <v>193</v>
      </c>
      <c r="W548" s="6">
        <f>V548/V601</f>
        <v>0.38142292490118579</v>
      </c>
      <c r="X548" s="6">
        <f>193/$X$3</f>
        <v>0.3574074074074074</v>
      </c>
      <c r="Z548">
        <v>42</v>
      </c>
      <c r="AA548" s="6">
        <f>Z548/Z601</f>
        <v>0.39622641509433965</v>
      </c>
      <c r="AB548" s="6">
        <f>42/$AB$3</f>
        <v>0.37168141592920356</v>
      </c>
      <c r="AD548">
        <v>72</v>
      </c>
      <c r="AE548" s="6">
        <f>AD548/AD601</f>
        <v>0.38297872340425532</v>
      </c>
      <c r="AF548" s="6">
        <f>72/$AF$3</f>
        <v>0.36363636363636365</v>
      </c>
      <c r="AH548">
        <v>89</v>
      </c>
      <c r="AI548" s="6">
        <f>AH548/AH601</f>
        <v>0.38362068965517243</v>
      </c>
      <c r="AJ548" s="6">
        <f>89/$AJ$3</f>
        <v>0.36032388663967613</v>
      </c>
      <c r="AL548">
        <v>78</v>
      </c>
      <c r="AM548" s="6">
        <f>AL548/AL601</f>
        <v>0.3577981651376147</v>
      </c>
      <c r="AN548" s="6">
        <f>78/$AN$3</f>
        <v>0.33620689655172414</v>
      </c>
      <c r="AP548">
        <v>58</v>
      </c>
      <c r="AQ548" s="6">
        <f>AP548/AP601</f>
        <v>0.34319526627218933</v>
      </c>
      <c r="AR548" s="6">
        <f>58/$AR$3</f>
        <v>0.31182795698924731</v>
      </c>
      <c r="AT548">
        <v>36</v>
      </c>
      <c r="AU548" s="6">
        <f>AT548/AT601</f>
        <v>0.30769230769230771</v>
      </c>
      <c r="AV548" s="6">
        <f>36/$AV$3</f>
        <v>0.29032258064516131</v>
      </c>
      <c r="AX548">
        <v>144</v>
      </c>
      <c r="AY548" s="6">
        <f>AX548/AX601</f>
        <v>0.36455696202531646</v>
      </c>
      <c r="AZ548" s="6">
        <f>144/$AZ$3</f>
        <v>0.33488372093023255</v>
      </c>
      <c r="BB548">
        <v>150</v>
      </c>
      <c r="BC548" s="6">
        <f>BB548/BB601</f>
        <v>0.37037037037037035</v>
      </c>
      <c r="BD548" s="6">
        <f>150/$BD$3</f>
        <v>0.35046728971962615</v>
      </c>
      <c r="BF548">
        <v>81</v>
      </c>
      <c r="BG548" s="6">
        <f>BF548/BF601</f>
        <v>0.35217391304347828</v>
      </c>
      <c r="BH548" s="6">
        <f>81/$BH$3</f>
        <v>0.33471074380165289</v>
      </c>
      <c r="BJ548">
        <v>133</v>
      </c>
      <c r="BK548" s="6">
        <f>BJ548/BJ601</f>
        <v>0.35656836461126007</v>
      </c>
      <c r="BL548" s="6">
        <f>133/$BL$3</f>
        <v>0.33002481389578164</v>
      </c>
      <c r="BN548">
        <v>136</v>
      </c>
      <c r="BO548" s="6">
        <f>BN548/BN601</f>
        <v>0.34605597964376589</v>
      </c>
      <c r="BP548" s="6">
        <f>136/$BP$3</f>
        <v>0.32151300236406621</v>
      </c>
      <c r="BR548">
        <v>106</v>
      </c>
      <c r="BS548" s="6">
        <f>BR548/BR601</f>
        <v>0.40151515151515149</v>
      </c>
      <c r="BT548" s="6">
        <f>106/$BT$3</f>
        <v>0.38686131386861317</v>
      </c>
      <c r="BV548">
        <v>100</v>
      </c>
      <c r="BW548" s="6">
        <f>BV548/BV601</f>
        <v>0.34965034965034963</v>
      </c>
      <c r="BX548" s="6">
        <f>100/$BX$3</f>
        <v>0.32786885245901637</v>
      </c>
      <c r="BZ548">
        <v>73</v>
      </c>
      <c r="CA548" s="6">
        <f>BZ548/BZ601</f>
        <v>0.34597156398104267</v>
      </c>
      <c r="CB548" s="6">
        <f>73/$CB$3</f>
        <v>0.32589285714285715</v>
      </c>
      <c r="CD548">
        <v>82</v>
      </c>
      <c r="CE548" s="6">
        <f>CD548/CD601</f>
        <v>0.36771300448430494</v>
      </c>
      <c r="CF548" s="6">
        <f>82/$CF$3</f>
        <v>0.34024896265560167</v>
      </c>
      <c r="CH548">
        <v>120</v>
      </c>
      <c r="CI548" s="6">
        <f>CH548/CH601</f>
        <v>0.38709677419354838</v>
      </c>
      <c r="CJ548" s="6">
        <f>120/$CJ$3</f>
        <v>0.36363636363636365</v>
      </c>
    </row>
    <row r="549" spans="1:88" x14ac:dyDescent="0.35">
      <c r="A549" s="1" t="s">
        <v>1588</v>
      </c>
      <c r="B549">
        <v>367</v>
      </c>
      <c r="C549" s="6">
        <f>B549/B601</f>
        <v>0.35631067961165047</v>
      </c>
      <c r="D549" s="6">
        <f>367/$D$3</f>
        <v>0.33363636363636362</v>
      </c>
      <c r="F549">
        <v>314</v>
      </c>
      <c r="G549" s="6">
        <f>F549/F601</f>
        <v>0.36175115207373271</v>
      </c>
      <c r="H549" s="6">
        <f>314/$H$3</f>
        <v>0.34467618002195388</v>
      </c>
      <c r="J549">
        <v>150</v>
      </c>
      <c r="K549" s="6">
        <f>J549/J601</f>
        <v>0.35714285714285715</v>
      </c>
      <c r="L549" s="6">
        <f>150/$L$3</f>
        <v>0.34562211981566821</v>
      </c>
      <c r="N549">
        <v>34</v>
      </c>
      <c r="O549" s="6">
        <f>N549/N601</f>
        <v>0.44155844155844154</v>
      </c>
      <c r="P549" s="6">
        <f>34/$P$3</f>
        <v>0.41975308641975306</v>
      </c>
      <c r="R549">
        <v>186</v>
      </c>
      <c r="S549" s="6">
        <f>R549/R601</f>
        <v>0.35496183206106868</v>
      </c>
      <c r="T549" s="6">
        <f>186/$T$3</f>
        <v>0.33214285714285713</v>
      </c>
      <c r="V549">
        <v>181</v>
      </c>
      <c r="W549" s="6">
        <f>V549/V601</f>
        <v>0.35770750988142291</v>
      </c>
      <c r="X549" s="6">
        <f>181/$X$3</f>
        <v>0.3351851851851852</v>
      </c>
      <c r="Z549">
        <v>44</v>
      </c>
      <c r="AA549" s="6">
        <f>Z549/Z601</f>
        <v>0.41509433962264153</v>
      </c>
      <c r="AB549" s="6">
        <f>44/$AB$3</f>
        <v>0.38938053097345132</v>
      </c>
      <c r="AD549">
        <v>67</v>
      </c>
      <c r="AE549" s="6">
        <f>AD549/AD601</f>
        <v>0.35638297872340424</v>
      </c>
      <c r="AF549" s="6">
        <f>67/$AF$3</f>
        <v>0.3383838383838384</v>
      </c>
      <c r="AH549">
        <v>78</v>
      </c>
      <c r="AI549" s="6">
        <f>AH549/AH601</f>
        <v>0.33620689655172414</v>
      </c>
      <c r="AJ549" s="6">
        <f>78/$AJ$3</f>
        <v>0.31578947368421051</v>
      </c>
      <c r="AL549">
        <v>84</v>
      </c>
      <c r="AM549" s="6">
        <f>AL549/AL601</f>
        <v>0.38532110091743121</v>
      </c>
      <c r="AN549" s="6">
        <f>84/$AN$3</f>
        <v>0.36206896551724138</v>
      </c>
      <c r="AP549">
        <v>55</v>
      </c>
      <c r="AQ549" s="6">
        <f>AP549/AP601</f>
        <v>0.32544378698224852</v>
      </c>
      <c r="AR549" s="6">
        <f>55/$AR$3</f>
        <v>0.29569892473118281</v>
      </c>
      <c r="AT549">
        <v>39</v>
      </c>
      <c r="AU549" s="6">
        <f>AT549/AT601</f>
        <v>0.33333333333333331</v>
      </c>
      <c r="AV549" s="6">
        <f>39/$AV$3</f>
        <v>0.31451612903225806</v>
      </c>
      <c r="AX549">
        <v>130</v>
      </c>
      <c r="AY549" s="6">
        <f>AX549/AX601</f>
        <v>0.32911392405063289</v>
      </c>
      <c r="AZ549" s="6">
        <f>130/$AZ$3</f>
        <v>0.30232558139534882</v>
      </c>
      <c r="BB549">
        <v>152</v>
      </c>
      <c r="BC549" s="6">
        <f>BB549/BB601</f>
        <v>0.37530864197530867</v>
      </c>
      <c r="BD549" s="6">
        <f>152/$BD$3</f>
        <v>0.35514018691588783</v>
      </c>
      <c r="BF549">
        <v>85</v>
      </c>
      <c r="BG549" s="6">
        <f>BF549/BF601</f>
        <v>0.36956521739130432</v>
      </c>
      <c r="BH549" s="6">
        <f>85/$BH$3</f>
        <v>0.3512396694214876</v>
      </c>
      <c r="BJ549">
        <v>118</v>
      </c>
      <c r="BK549" s="6">
        <f>BJ549/BJ601</f>
        <v>0.3163538873994638</v>
      </c>
      <c r="BL549" s="6">
        <f>118/$BL$3</f>
        <v>0.29280397022332505</v>
      </c>
      <c r="BN549">
        <v>143</v>
      </c>
      <c r="BO549" s="6">
        <f>BN549/BN601</f>
        <v>0.36386768447837148</v>
      </c>
      <c r="BP549" s="6">
        <f>143/$BP$3</f>
        <v>0.33806146572104018</v>
      </c>
      <c r="BR549">
        <v>106</v>
      </c>
      <c r="BS549" s="6">
        <f>BR549/BR601</f>
        <v>0.40151515151515149</v>
      </c>
      <c r="BT549" s="9">
        <f>106/$BT$3</f>
        <v>0.38686131386861317</v>
      </c>
      <c r="BV549">
        <v>93</v>
      </c>
      <c r="BW549" s="6">
        <f>BV549/BV601</f>
        <v>0.32517482517482516</v>
      </c>
      <c r="BX549" s="6">
        <f>93/$BX$3</f>
        <v>0.30491803278688523</v>
      </c>
      <c r="BZ549">
        <v>66</v>
      </c>
      <c r="CA549" s="6">
        <f>BZ549/BZ601</f>
        <v>0.3127962085308057</v>
      </c>
      <c r="CB549" s="6">
        <f>66/$CB$3</f>
        <v>0.29464285714285715</v>
      </c>
      <c r="CD549">
        <v>79</v>
      </c>
      <c r="CE549" s="6">
        <f>CD549/CD601</f>
        <v>0.35426008968609868</v>
      </c>
      <c r="CF549" s="6">
        <f>79/$CF$3</f>
        <v>0.32780082987551867</v>
      </c>
      <c r="CH549">
        <v>129</v>
      </c>
      <c r="CI549" s="6">
        <f>CH549/CH601</f>
        <v>0.41612903225806452</v>
      </c>
      <c r="CJ549" s="9">
        <f>129/$CJ$3</f>
        <v>0.39090909090909093</v>
      </c>
    </row>
    <row r="550" spans="1:88" x14ac:dyDescent="0.35">
      <c r="A550" s="1" t="s">
        <v>1589</v>
      </c>
      <c r="B550">
        <v>321</v>
      </c>
      <c r="C550" s="6">
        <f>B550/B601</f>
        <v>0.31165048543689322</v>
      </c>
      <c r="D550" s="6">
        <f>321/$D$3</f>
        <v>0.29181818181818181</v>
      </c>
      <c r="F550">
        <v>287</v>
      </c>
      <c r="G550" s="6">
        <f>F550/F601</f>
        <v>0.33064516129032256</v>
      </c>
      <c r="H550" s="6">
        <f>287/$H$3</f>
        <v>0.31503841931942922</v>
      </c>
      <c r="J550">
        <v>152</v>
      </c>
      <c r="K550" s="6">
        <f>J550/J601</f>
        <v>0.3619047619047619</v>
      </c>
      <c r="L550" s="9">
        <f>152/$L$3</f>
        <v>0.35023041474654376</v>
      </c>
      <c r="N550">
        <v>25</v>
      </c>
      <c r="O550" s="6">
        <f>N550/N601</f>
        <v>0.32467532467532467</v>
      </c>
      <c r="P550" s="6">
        <f>25/$P$3</f>
        <v>0.30864197530864196</v>
      </c>
      <c r="R550">
        <v>149</v>
      </c>
      <c r="S550" s="6">
        <f>R550/R601</f>
        <v>0.28435114503816794</v>
      </c>
      <c r="T550" s="6">
        <f>149/$T$3</f>
        <v>0.26607142857142857</v>
      </c>
      <c r="V550">
        <v>172</v>
      </c>
      <c r="W550" s="6">
        <f>V550/V601</f>
        <v>0.33992094861660077</v>
      </c>
      <c r="X550" s="6">
        <f>172/$X$3</f>
        <v>0.31851851851851853</v>
      </c>
      <c r="Z550">
        <v>46</v>
      </c>
      <c r="AA550" s="6">
        <f>Z550/Z601</f>
        <v>0.43396226415094341</v>
      </c>
      <c r="AB550" s="9">
        <f>46/$AB$3</f>
        <v>0.40707964601769914</v>
      </c>
      <c r="AC550" s="7"/>
      <c r="AD550">
        <v>64</v>
      </c>
      <c r="AE550" s="6">
        <f>AD550/AD601</f>
        <v>0.34042553191489361</v>
      </c>
      <c r="AF550" s="6">
        <f>64/$AF$3</f>
        <v>0.32323232323232326</v>
      </c>
      <c r="AH550">
        <v>67</v>
      </c>
      <c r="AI550" s="6">
        <f>AH550/AH601</f>
        <v>0.28879310344827586</v>
      </c>
      <c r="AJ550" s="6">
        <f>67/$AJ$3</f>
        <v>0.27125506072874495</v>
      </c>
      <c r="AL550">
        <v>67</v>
      </c>
      <c r="AM550" s="6">
        <f>AL550/AL601</f>
        <v>0.30733944954128439</v>
      </c>
      <c r="AN550" s="6">
        <f>67/$AN$3</f>
        <v>0.28879310344827586</v>
      </c>
      <c r="AP550">
        <v>51</v>
      </c>
      <c r="AQ550" s="6">
        <f>AP550/AP601</f>
        <v>0.30177514792899407</v>
      </c>
      <c r="AR550" s="6">
        <f>51/$AR$3</f>
        <v>0.27419354838709675</v>
      </c>
      <c r="AT550">
        <v>26</v>
      </c>
      <c r="AU550" s="6">
        <f>AT550/AT601</f>
        <v>0.22222222222222221</v>
      </c>
      <c r="AV550" s="8">
        <f>26/$AV$3</f>
        <v>0.20967741935483872</v>
      </c>
      <c r="AX550">
        <v>124</v>
      </c>
      <c r="AY550" s="6">
        <f>AX550/AX601</f>
        <v>0.3139240506329114</v>
      </c>
      <c r="AZ550" s="6">
        <f>124/$AZ$3</f>
        <v>0.28837209302325584</v>
      </c>
      <c r="BB550">
        <v>133</v>
      </c>
      <c r="BC550" s="6">
        <f>BB550/BB601</f>
        <v>0.32839506172839505</v>
      </c>
      <c r="BD550" s="6">
        <f>133/$BD$3</f>
        <v>0.31074766355140188</v>
      </c>
      <c r="BF550">
        <v>64</v>
      </c>
      <c r="BG550" s="6">
        <f>BF550/BF601</f>
        <v>0.27826086956521739</v>
      </c>
      <c r="BH550" s="6">
        <f>64/$BH$3</f>
        <v>0.26446280991735538</v>
      </c>
      <c r="BJ550">
        <v>112</v>
      </c>
      <c r="BK550" s="6">
        <f>BJ550/BJ601</f>
        <v>0.30026809651474529</v>
      </c>
      <c r="BL550" s="6">
        <f>112/$BL$3</f>
        <v>0.27791563275434245</v>
      </c>
      <c r="BN550">
        <v>121</v>
      </c>
      <c r="BO550" s="6">
        <f>BN550/BN601</f>
        <v>0.30788804071246817</v>
      </c>
      <c r="BP550" s="6">
        <f>121/$BP$3</f>
        <v>0.2860520094562648</v>
      </c>
      <c r="BR550">
        <v>88</v>
      </c>
      <c r="BS550" s="6">
        <f>BR550/BR601</f>
        <v>0.33333333333333331</v>
      </c>
      <c r="BT550" s="6">
        <f>88/$BT$3</f>
        <v>0.32116788321167883</v>
      </c>
      <c r="BV550">
        <v>83</v>
      </c>
      <c r="BW550" s="6">
        <f>BV550/BV601</f>
        <v>0.29020979020979021</v>
      </c>
      <c r="BX550" s="6">
        <f>83/$BX$3</f>
        <v>0.27213114754098361</v>
      </c>
      <c r="BZ550">
        <v>63</v>
      </c>
      <c r="CA550" s="6">
        <f>BZ550/BZ601</f>
        <v>0.29857819905213268</v>
      </c>
      <c r="CB550" s="6">
        <f>63/$CB$3</f>
        <v>0.28125</v>
      </c>
      <c r="CD550">
        <v>71</v>
      </c>
      <c r="CE550" s="6">
        <f>CD550/CD601</f>
        <v>0.31838565022421522</v>
      </c>
      <c r="CF550" s="6">
        <f>71/$CF$3</f>
        <v>0.29460580912863071</v>
      </c>
      <c r="CH550">
        <v>104</v>
      </c>
      <c r="CI550" s="6">
        <f>CH550/CH601</f>
        <v>0.33548387096774196</v>
      </c>
      <c r="CJ550" s="6">
        <f>104/$CJ$3</f>
        <v>0.31515151515151513</v>
      </c>
    </row>
    <row r="551" spans="1:88" x14ac:dyDescent="0.35">
      <c r="A551" s="1" t="s">
        <v>1590</v>
      </c>
      <c r="B551">
        <v>275</v>
      </c>
      <c r="C551" s="6">
        <f>B551/B601</f>
        <v>0.26699029126213591</v>
      </c>
      <c r="D551" s="6">
        <f>275/$D$3</f>
        <v>0.25</v>
      </c>
      <c r="F551">
        <v>250</v>
      </c>
      <c r="G551" s="6">
        <f>F551/F601</f>
        <v>0.28801843317972348</v>
      </c>
      <c r="H551" s="6">
        <f>250/$H$3</f>
        <v>0.27442371020856204</v>
      </c>
      <c r="J551">
        <v>133</v>
      </c>
      <c r="K551" s="6">
        <f>J551/J601</f>
        <v>0.31666666666666665</v>
      </c>
      <c r="L551" s="9">
        <f>133/$L$3</f>
        <v>0.30645161290322581</v>
      </c>
      <c r="N551">
        <v>28</v>
      </c>
      <c r="O551" s="6">
        <f>N551/N601</f>
        <v>0.36363636363636365</v>
      </c>
      <c r="P551" s="9">
        <f>28/$P$3</f>
        <v>0.34567901234567899</v>
      </c>
      <c r="R551">
        <v>138</v>
      </c>
      <c r="S551" s="6">
        <f>R551/R601</f>
        <v>0.26335877862595419</v>
      </c>
      <c r="T551" s="6">
        <f>138/$T$3</f>
        <v>0.24642857142857144</v>
      </c>
      <c r="V551">
        <v>137</v>
      </c>
      <c r="W551" s="6">
        <f>V551/V601</f>
        <v>0.27075098814229248</v>
      </c>
      <c r="X551" s="6">
        <f>137/$X$3</f>
        <v>0.25370370370370371</v>
      </c>
      <c r="Z551">
        <v>38</v>
      </c>
      <c r="AA551" s="6">
        <f>Z551/Z601</f>
        <v>0.35849056603773582</v>
      </c>
      <c r="AB551" s="9">
        <f>38/$AB$3</f>
        <v>0.33628318584070799</v>
      </c>
      <c r="AC551" s="7"/>
      <c r="AD551">
        <v>64</v>
      </c>
      <c r="AE551" s="6">
        <f>AD551/AD601</f>
        <v>0.34042553191489361</v>
      </c>
      <c r="AF551" s="9">
        <f>64/$AF$3</f>
        <v>0.32323232323232326</v>
      </c>
      <c r="AG551" s="7"/>
      <c r="AH551">
        <v>64</v>
      </c>
      <c r="AI551" s="6">
        <f>AH551/AH601</f>
        <v>0.27586206896551724</v>
      </c>
      <c r="AJ551" s="6">
        <f>64/$AJ$3</f>
        <v>0.25910931174089069</v>
      </c>
      <c r="AK551" s="7"/>
      <c r="AL551">
        <v>61</v>
      </c>
      <c r="AM551" s="6">
        <f>AL551/AL601</f>
        <v>0.27981651376146788</v>
      </c>
      <c r="AN551" s="6">
        <f>61/$AN$3</f>
        <v>0.26293103448275862</v>
      </c>
      <c r="AO551" s="7"/>
      <c r="AP551">
        <v>35</v>
      </c>
      <c r="AQ551" s="6">
        <f>AP551/AP601</f>
        <v>0.20710059171597633</v>
      </c>
      <c r="AR551" s="8">
        <f>35/$AR$3</f>
        <v>0.18817204301075269</v>
      </c>
      <c r="AT551">
        <v>13</v>
      </c>
      <c r="AU551" s="6">
        <f>AT551/AT601</f>
        <v>0.1111111111111111</v>
      </c>
      <c r="AV551" s="8">
        <f>13/$AV$3</f>
        <v>0.10483870967741936</v>
      </c>
      <c r="AX551">
        <v>111</v>
      </c>
      <c r="AY551" s="6">
        <f>AX551/AX601</f>
        <v>0.2810126582278481</v>
      </c>
      <c r="AZ551" s="6">
        <f>111/$AZ$3</f>
        <v>0.25813953488372093</v>
      </c>
      <c r="BB551">
        <v>115</v>
      </c>
      <c r="BC551" s="6">
        <f>BB551/BB601</f>
        <v>0.2839506172839506</v>
      </c>
      <c r="BD551" s="6">
        <f>115/$BD$3</f>
        <v>0.26869158878504673</v>
      </c>
      <c r="BF551">
        <v>49</v>
      </c>
      <c r="BG551" s="6">
        <f>BF551/BF601</f>
        <v>0.21304347826086956</v>
      </c>
      <c r="BH551" s="6">
        <f>49/$BH$3</f>
        <v>0.2024793388429752</v>
      </c>
      <c r="BJ551">
        <v>109</v>
      </c>
      <c r="BK551" s="6">
        <f>BJ551/BJ601</f>
        <v>0.29222520107238603</v>
      </c>
      <c r="BL551" s="6">
        <f>109/$BL$3</f>
        <v>0.27047146401985112</v>
      </c>
      <c r="BN551">
        <v>93</v>
      </c>
      <c r="BO551" s="6">
        <f>BN551/BN601</f>
        <v>0.23664122137404581</v>
      </c>
      <c r="BP551" s="6">
        <f>93/$BP$3</f>
        <v>0.21985815602836881</v>
      </c>
      <c r="BR551">
        <v>73</v>
      </c>
      <c r="BS551" s="6">
        <f>BR551/BR601</f>
        <v>0.27651515151515149</v>
      </c>
      <c r="BT551" s="6">
        <f>73/$BT$3</f>
        <v>0.26642335766423358</v>
      </c>
      <c r="BV551">
        <v>77</v>
      </c>
      <c r="BW551" s="6">
        <f>BV551/BV601</f>
        <v>0.26923076923076922</v>
      </c>
      <c r="BX551" s="6">
        <f>77/$BX$3</f>
        <v>0.25245901639344265</v>
      </c>
      <c r="BZ551">
        <v>50</v>
      </c>
      <c r="CA551" s="6">
        <f>BZ551/BZ601</f>
        <v>0.23696682464454977</v>
      </c>
      <c r="CB551" s="6">
        <f>50/$CB$3</f>
        <v>0.22321428571428573</v>
      </c>
      <c r="CD551">
        <v>67</v>
      </c>
      <c r="CE551" s="6">
        <f>CD551/CD601</f>
        <v>0.30044843049327352</v>
      </c>
      <c r="CF551" s="6">
        <f>67/$CF$3</f>
        <v>0.27800829875518673</v>
      </c>
      <c r="CH551">
        <v>81</v>
      </c>
      <c r="CI551" s="6">
        <f>CH551/CH601</f>
        <v>0.26129032258064516</v>
      </c>
      <c r="CJ551" s="6">
        <f>81/$CJ$3</f>
        <v>0.24545454545454545</v>
      </c>
    </row>
    <row r="552" spans="1:88" x14ac:dyDescent="0.35">
      <c r="A552" s="1" t="s">
        <v>1591</v>
      </c>
      <c r="B552">
        <v>250</v>
      </c>
      <c r="C552" s="6">
        <f>B552/B601</f>
        <v>0.24271844660194175</v>
      </c>
      <c r="D552" s="6">
        <f>250/$D$3</f>
        <v>0.22727272727272727</v>
      </c>
      <c r="F552">
        <v>222</v>
      </c>
      <c r="G552" s="6">
        <f>F552/F601</f>
        <v>0.25576036866359447</v>
      </c>
      <c r="H552" s="6">
        <f>222/$H$3</f>
        <v>0.24368825466520308</v>
      </c>
      <c r="J552">
        <v>112</v>
      </c>
      <c r="K552" s="6">
        <f>J552/J601</f>
        <v>0.26666666666666666</v>
      </c>
      <c r="L552" s="6">
        <f>112/$L$3</f>
        <v>0.25806451612903225</v>
      </c>
      <c r="N552">
        <v>24</v>
      </c>
      <c r="O552" s="6">
        <f>N552/N601</f>
        <v>0.31168831168831168</v>
      </c>
      <c r="P552" s="6">
        <f>24/$P$3</f>
        <v>0.29629629629629628</v>
      </c>
      <c r="R552">
        <v>117</v>
      </c>
      <c r="S552" s="6">
        <f>R552/R601</f>
        <v>0.22328244274809161</v>
      </c>
      <c r="T552" s="6">
        <f>117/$T$3</f>
        <v>0.20892857142857144</v>
      </c>
      <c r="V552">
        <v>133</v>
      </c>
      <c r="W552" s="6">
        <f>V552/V601</f>
        <v>0.26284584980237152</v>
      </c>
      <c r="X552" s="6">
        <f>133/$X$3</f>
        <v>0.24629629629629629</v>
      </c>
      <c r="Z552">
        <v>30</v>
      </c>
      <c r="AA552" s="6">
        <f>Z552/Z601</f>
        <v>0.28301886792452829</v>
      </c>
      <c r="AB552" s="6">
        <f>30/$AB$3</f>
        <v>0.26548672566371684</v>
      </c>
      <c r="AD552">
        <v>52</v>
      </c>
      <c r="AE552" s="6">
        <f>AD552/AD601</f>
        <v>0.27659574468085107</v>
      </c>
      <c r="AF552" s="6">
        <f>52/$AF$3</f>
        <v>0.26262626262626265</v>
      </c>
      <c r="AH552">
        <v>55</v>
      </c>
      <c r="AI552" s="6">
        <f>AH552/AH601</f>
        <v>0.23706896551724138</v>
      </c>
      <c r="AJ552" s="6">
        <f>55/$AJ$3</f>
        <v>0.22267206477732793</v>
      </c>
      <c r="AL552">
        <v>53</v>
      </c>
      <c r="AM552" s="6">
        <f>AL552/AL601</f>
        <v>0.24311926605504589</v>
      </c>
      <c r="AN552" s="6">
        <f>53/$AN$3</f>
        <v>0.22844827586206898</v>
      </c>
      <c r="AP552">
        <v>40</v>
      </c>
      <c r="AQ552" s="6">
        <f>AP552/AP601</f>
        <v>0.23668639053254437</v>
      </c>
      <c r="AR552" s="6">
        <f>40/$AR$3</f>
        <v>0.21505376344086022</v>
      </c>
      <c r="AT552">
        <v>20</v>
      </c>
      <c r="AU552" s="6">
        <f>AT552/AT601</f>
        <v>0.17094017094017094</v>
      </c>
      <c r="AV552" s="6">
        <f>20/$AV$3</f>
        <v>0.16129032258064516</v>
      </c>
      <c r="AX552">
        <v>100</v>
      </c>
      <c r="AY552" s="6">
        <f>AX552/AX601</f>
        <v>0.25316455696202533</v>
      </c>
      <c r="AZ552" s="6">
        <f>100/$AZ$3</f>
        <v>0.23255813953488372</v>
      </c>
      <c r="BB552">
        <v>105</v>
      </c>
      <c r="BC552" s="6">
        <f>BB552/BB601</f>
        <v>0.25925925925925924</v>
      </c>
      <c r="BD552" s="6">
        <f>105/$BD$3</f>
        <v>0.24532710280373832</v>
      </c>
      <c r="BF552">
        <v>45</v>
      </c>
      <c r="BG552" s="6">
        <f>BF552/BF601</f>
        <v>0.19565217391304349</v>
      </c>
      <c r="BH552" s="6">
        <f>45/$BH$3</f>
        <v>0.18595041322314049</v>
      </c>
      <c r="BJ552">
        <v>102</v>
      </c>
      <c r="BK552" s="6">
        <f>BJ552/BJ601</f>
        <v>0.27345844504021449</v>
      </c>
      <c r="BL552" s="6">
        <f>102/$BL$3</f>
        <v>0.25310173697270472</v>
      </c>
      <c r="BN552">
        <v>80</v>
      </c>
      <c r="BO552" s="6">
        <f>BN552/BN601</f>
        <v>0.20356234096692111</v>
      </c>
      <c r="BP552" s="6">
        <f>80/$BP$3</f>
        <v>0.18912529550827423</v>
      </c>
      <c r="BR552">
        <v>68</v>
      </c>
      <c r="BS552" s="6">
        <f>BR552/BR601</f>
        <v>0.25757575757575757</v>
      </c>
      <c r="BT552" s="6">
        <f>68/$BT$3</f>
        <v>0.24817518248175183</v>
      </c>
      <c r="BV552">
        <v>71</v>
      </c>
      <c r="BW552" s="6">
        <f>BV552/BV601</f>
        <v>0.24825174825174826</v>
      </c>
      <c r="BX552" s="6">
        <f>71/$BX$3</f>
        <v>0.23278688524590163</v>
      </c>
      <c r="BZ552">
        <v>50</v>
      </c>
      <c r="CA552" s="6">
        <f>BZ552/BZ601</f>
        <v>0.23696682464454977</v>
      </c>
      <c r="CB552" s="6">
        <f>50/$CB$3</f>
        <v>0.22321428571428573</v>
      </c>
      <c r="CD552">
        <v>56</v>
      </c>
      <c r="CE552" s="6">
        <f>CD552/CD601</f>
        <v>0.25112107623318386</v>
      </c>
      <c r="CF552" s="6">
        <f>56/$CF$3</f>
        <v>0.23236514522821577</v>
      </c>
      <c r="CH552">
        <v>73</v>
      </c>
      <c r="CI552" s="6">
        <f>CH552/CH601</f>
        <v>0.23548387096774193</v>
      </c>
      <c r="CJ552" s="6">
        <f>73/$CJ$3</f>
        <v>0.22121212121212122</v>
      </c>
    </row>
    <row r="553" spans="1:88" x14ac:dyDescent="0.35">
      <c r="A553" s="1" t="s">
        <v>1592</v>
      </c>
      <c r="B553">
        <v>448</v>
      </c>
      <c r="C553" s="6">
        <f>B553/B601</f>
        <v>0.43495145631067961</v>
      </c>
      <c r="D553" s="6">
        <f>448/$D$3</f>
        <v>0.40727272727272729</v>
      </c>
      <c r="F553">
        <v>403</v>
      </c>
      <c r="G553" s="6">
        <f>F553/F601</f>
        <v>0.4642857142857143</v>
      </c>
      <c r="H553" s="6">
        <f>403/$H$3</f>
        <v>0.442371020856202</v>
      </c>
      <c r="J553">
        <v>212</v>
      </c>
      <c r="K553" s="6">
        <f>J553/J601</f>
        <v>0.50476190476190474</v>
      </c>
      <c r="L553" s="9">
        <f>212/$L$3</f>
        <v>0.48847926267281105</v>
      </c>
      <c r="N553">
        <v>32</v>
      </c>
      <c r="O553" s="6">
        <f>N553/N601</f>
        <v>0.41558441558441561</v>
      </c>
      <c r="P553" s="6">
        <f>32/$P$3</f>
        <v>0.39506172839506171</v>
      </c>
      <c r="R553">
        <v>257</v>
      </c>
      <c r="S553" s="6">
        <f>R553/R601</f>
        <v>0.49045801526717558</v>
      </c>
      <c r="T553" s="9">
        <f>257/$T$3</f>
        <v>0.45892857142857141</v>
      </c>
      <c r="V553">
        <v>191</v>
      </c>
      <c r="W553" s="6">
        <f>V553/V601</f>
        <v>0.37747035573122528</v>
      </c>
      <c r="X553" s="8">
        <f>191/$X$3</f>
        <v>0.35370370370370369</v>
      </c>
      <c r="Z553">
        <v>50</v>
      </c>
      <c r="AA553" s="6">
        <f>Z553/Z601</f>
        <v>0.47169811320754718</v>
      </c>
      <c r="AB553" s="6">
        <f>50/$AB$3</f>
        <v>0.44247787610619471</v>
      </c>
      <c r="AD553">
        <v>79</v>
      </c>
      <c r="AE553" s="6">
        <f>AD553/AD601</f>
        <v>0.42021276595744683</v>
      </c>
      <c r="AF553" s="6">
        <f>79/$AF$3</f>
        <v>0.39898989898989901</v>
      </c>
      <c r="AH553">
        <v>111</v>
      </c>
      <c r="AI553" s="6">
        <f>AH553/AH601</f>
        <v>0.47844827586206895</v>
      </c>
      <c r="AJ553" s="6">
        <f>111/$AJ$3</f>
        <v>0.44939271255060731</v>
      </c>
      <c r="AL553">
        <v>103</v>
      </c>
      <c r="AM553" s="6">
        <f>AL553/AL601</f>
        <v>0.47247706422018348</v>
      </c>
      <c r="AN553" s="6">
        <f>103/$AN$3</f>
        <v>0.44396551724137934</v>
      </c>
      <c r="AP553">
        <v>65</v>
      </c>
      <c r="AQ553" s="6">
        <f>AP553/AP601</f>
        <v>0.38461538461538464</v>
      </c>
      <c r="AR553" s="6">
        <f>65/$AR$3</f>
        <v>0.34946236559139787</v>
      </c>
      <c r="AT553">
        <v>40</v>
      </c>
      <c r="AU553" s="6">
        <f>AT553/AT601</f>
        <v>0.34188034188034189</v>
      </c>
      <c r="AV553" s="8">
        <f>40/$AV$3</f>
        <v>0.32258064516129031</v>
      </c>
      <c r="AX553">
        <v>173</v>
      </c>
      <c r="AY553" s="6">
        <f>AX553/AX601</f>
        <v>0.4379746835443038</v>
      </c>
      <c r="AZ553" s="6">
        <f>173/$AZ$3</f>
        <v>0.40232558139534885</v>
      </c>
      <c r="BB553">
        <v>181</v>
      </c>
      <c r="BC553" s="6">
        <f>BB553/BB601</f>
        <v>0.44691358024691358</v>
      </c>
      <c r="BD553" s="6">
        <f>181/$BD$3</f>
        <v>0.42289719626168226</v>
      </c>
      <c r="BF553">
        <v>94</v>
      </c>
      <c r="BG553" s="6">
        <f>BF553/BF601</f>
        <v>0.40869565217391307</v>
      </c>
      <c r="BH553" s="6">
        <f>94/$BH$3</f>
        <v>0.38842975206611569</v>
      </c>
      <c r="BJ553">
        <v>165</v>
      </c>
      <c r="BK553" s="6">
        <f>BJ553/BJ601</f>
        <v>0.44235924932975873</v>
      </c>
      <c r="BL553" s="6">
        <f>165/$BL$3</f>
        <v>0.40942928039702231</v>
      </c>
      <c r="BN553">
        <v>159</v>
      </c>
      <c r="BO553" s="6">
        <f>BN553/BN601</f>
        <v>0.40458015267175573</v>
      </c>
      <c r="BP553" s="6">
        <f>159/$BP$3</f>
        <v>0.37588652482269502</v>
      </c>
      <c r="BR553">
        <v>124</v>
      </c>
      <c r="BS553" s="6">
        <f>BR553/BR601</f>
        <v>0.46969696969696972</v>
      </c>
      <c r="BT553" s="6">
        <f>124/$BT$3</f>
        <v>0.45255474452554745</v>
      </c>
      <c r="BV553">
        <v>116</v>
      </c>
      <c r="BW553" s="6">
        <f>BV553/BV601</f>
        <v>0.40559440559440557</v>
      </c>
      <c r="BX553" s="6">
        <f>116/$BX$3</f>
        <v>0.38032786885245901</v>
      </c>
      <c r="BZ553">
        <v>93</v>
      </c>
      <c r="CA553" s="6">
        <f>BZ553/BZ601</f>
        <v>0.44075829383886256</v>
      </c>
      <c r="CB553" s="6">
        <f>93/$CB$3</f>
        <v>0.41517857142857145</v>
      </c>
      <c r="CD553">
        <v>102</v>
      </c>
      <c r="CE553" s="6">
        <f>CD553/CD601</f>
        <v>0.45739910313901344</v>
      </c>
      <c r="CF553" s="6">
        <f>102/$CF$3</f>
        <v>0.42323651452282157</v>
      </c>
      <c r="CH553">
        <v>137</v>
      </c>
      <c r="CI553" s="6">
        <f>CH553/CH601</f>
        <v>0.44193548387096776</v>
      </c>
      <c r="CJ553" s="6">
        <f>137/$CJ$3</f>
        <v>0.41515151515151516</v>
      </c>
    </row>
    <row r="555" spans="1:88" x14ac:dyDescent="0.35">
      <c r="A555" s="1" t="s">
        <v>1593</v>
      </c>
      <c r="B555">
        <v>91</v>
      </c>
      <c r="C555" s="6">
        <f>B555/B601</f>
        <v>8.8349514563106801E-2</v>
      </c>
      <c r="D555" s="6">
        <f>91/$D$3</f>
        <v>8.2727272727272733E-2</v>
      </c>
      <c r="F555">
        <v>81</v>
      </c>
      <c r="G555" s="6">
        <f>F555/F601</f>
        <v>9.3317972350230413E-2</v>
      </c>
      <c r="H555" s="6">
        <f>81/$H$3</f>
        <v>8.8913282107574099E-2</v>
      </c>
      <c r="J555">
        <v>51</v>
      </c>
      <c r="K555" s="6">
        <f>J555/J601</f>
        <v>0.12142857142857143</v>
      </c>
      <c r="L555" s="6">
        <f>51/$L$3</f>
        <v>0.11751152073732719</v>
      </c>
      <c r="N555">
        <v>6</v>
      </c>
      <c r="O555" s="6">
        <f>N555/N601</f>
        <v>7.792207792207792E-2</v>
      </c>
      <c r="P555" s="6">
        <f>6/$P$3</f>
        <v>7.407407407407407E-2</v>
      </c>
      <c r="R555">
        <v>49</v>
      </c>
      <c r="S555" s="6">
        <f>R555/R601</f>
        <v>9.3511450381679392E-2</v>
      </c>
      <c r="T555" s="6">
        <f>49/$T$3</f>
        <v>8.7499999999999994E-2</v>
      </c>
      <c r="V555">
        <v>42</v>
      </c>
      <c r="W555" s="6">
        <f>V555/V601</f>
        <v>8.3003952569169967E-2</v>
      </c>
      <c r="X555" s="6">
        <f>42/$X$3</f>
        <v>7.7777777777777779E-2</v>
      </c>
      <c r="Z555">
        <v>10</v>
      </c>
      <c r="AA555" s="6">
        <f>Z555/Z601</f>
        <v>9.4339622641509441E-2</v>
      </c>
      <c r="AB555" s="6">
        <f>10/$AB$3</f>
        <v>8.8495575221238937E-2</v>
      </c>
      <c r="AD555">
        <v>11</v>
      </c>
      <c r="AE555" s="6">
        <f>AD555/AD601</f>
        <v>5.8510638297872342E-2</v>
      </c>
      <c r="AF555" s="6">
        <f>11/$AF$3</f>
        <v>5.5555555555555552E-2</v>
      </c>
      <c r="AH555">
        <v>27</v>
      </c>
      <c r="AI555" s="6">
        <f>AH555/AH601</f>
        <v>0.11637931034482758</v>
      </c>
      <c r="AJ555" s="6">
        <f>27/$AJ$3</f>
        <v>0.10931174089068826</v>
      </c>
      <c r="AL555">
        <v>20</v>
      </c>
      <c r="AM555" s="6">
        <f>AL555/AL601</f>
        <v>9.1743119266055051E-2</v>
      </c>
      <c r="AN555" s="6">
        <f>20/$AN$3</f>
        <v>8.6206896551724144E-2</v>
      </c>
      <c r="AP555">
        <v>17</v>
      </c>
      <c r="AQ555" s="6">
        <f>AP555/AP601</f>
        <v>0.10059171597633136</v>
      </c>
      <c r="AR555" s="6">
        <f>17/$AR$3</f>
        <v>9.1397849462365593E-2</v>
      </c>
      <c r="AT555">
        <v>6</v>
      </c>
      <c r="AU555" s="6">
        <f>AT555/AT601</f>
        <v>5.128205128205128E-2</v>
      </c>
      <c r="AV555" s="6">
        <f>6/$AV$3</f>
        <v>4.8387096774193547E-2</v>
      </c>
      <c r="AX555">
        <v>43</v>
      </c>
      <c r="AY555" s="6">
        <f>AX555/AX601</f>
        <v>0.10886075949367088</v>
      </c>
      <c r="AZ555" s="6">
        <f>43/$AZ$3</f>
        <v>0.1</v>
      </c>
      <c r="BB555">
        <v>30</v>
      </c>
      <c r="BC555" s="6">
        <f>BB555/BB601</f>
        <v>7.407407407407407E-2</v>
      </c>
      <c r="BD555" s="6">
        <f>30/$BD$3</f>
        <v>7.0093457943925228E-2</v>
      </c>
      <c r="BF555">
        <v>18</v>
      </c>
      <c r="BG555" s="6">
        <f>BF555/BF601</f>
        <v>7.8260869565217397E-2</v>
      </c>
      <c r="BH555" s="6">
        <f>18/$BH$3</f>
        <v>7.43801652892562E-2</v>
      </c>
      <c r="BJ555">
        <v>41</v>
      </c>
      <c r="BK555" s="6">
        <f>BJ555/BJ601</f>
        <v>0.10991957104557641</v>
      </c>
      <c r="BL555" s="6">
        <f>41/$BL$3</f>
        <v>0.10173697270471464</v>
      </c>
      <c r="BN555">
        <v>24</v>
      </c>
      <c r="BO555" s="6">
        <f>BN555/BN601</f>
        <v>6.1068702290076333E-2</v>
      </c>
      <c r="BP555" s="6">
        <f>24/$BP$3</f>
        <v>5.6737588652482268E-2</v>
      </c>
      <c r="BR555">
        <v>26</v>
      </c>
      <c r="BS555" s="6">
        <f>BR555/BR601</f>
        <v>9.8484848484848481E-2</v>
      </c>
      <c r="BT555" s="6">
        <f>26/$BT$3</f>
        <v>9.4890510948905105E-2</v>
      </c>
      <c r="BV555">
        <v>22</v>
      </c>
      <c r="BW555" s="6">
        <f>BV555/BV601</f>
        <v>7.6923076923076927E-2</v>
      </c>
      <c r="BX555" s="6">
        <f>22/$BX$3</f>
        <v>7.2131147540983612E-2</v>
      </c>
      <c r="BZ555">
        <v>21</v>
      </c>
      <c r="CA555" s="6">
        <f>BZ555/BZ601</f>
        <v>9.9526066350710901E-2</v>
      </c>
      <c r="CB555" s="6">
        <f>21/$CB$3</f>
        <v>9.375E-2</v>
      </c>
      <c r="CD555">
        <v>23</v>
      </c>
      <c r="CE555" s="6">
        <f>CD555/CD601</f>
        <v>0.1031390134529148</v>
      </c>
      <c r="CF555" s="6">
        <f>23/$CF$3</f>
        <v>9.5435684647302899E-2</v>
      </c>
      <c r="CH555">
        <v>25</v>
      </c>
      <c r="CI555" s="6">
        <f>CH555/CH601</f>
        <v>8.0645161290322578E-2</v>
      </c>
      <c r="CJ555" s="6">
        <f>25/$CJ$3</f>
        <v>7.575757575757576E-2</v>
      </c>
    </row>
    <row r="556" spans="1:88" x14ac:dyDescent="0.35">
      <c r="A556" s="1" t="s">
        <v>1594</v>
      </c>
      <c r="B556">
        <v>71</v>
      </c>
      <c r="C556" s="6">
        <f>B556/B601</f>
        <v>6.8932038834951456E-2</v>
      </c>
      <c r="D556" s="6">
        <f>71/$D$3</f>
        <v>6.4545454545454545E-2</v>
      </c>
      <c r="F556">
        <v>63</v>
      </c>
      <c r="G556" s="6">
        <f>F556/F601</f>
        <v>7.2580645161290328E-2</v>
      </c>
      <c r="H556" s="6">
        <f>63/$H$3</f>
        <v>6.9154774972557634E-2</v>
      </c>
      <c r="J556">
        <v>38</v>
      </c>
      <c r="K556" s="6">
        <f>J556/J601</f>
        <v>9.0476190476190474E-2</v>
      </c>
      <c r="L556" s="6">
        <f>38/$L$3</f>
        <v>8.755760368663594E-2</v>
      </c>
      <c r="N556">
        <v>4</v>
      </c>
      <c r="O556" s="6">
        <f>N556/N601</f>
        <v>5.1948051948051951E-2</v>
      </c>
      <c r="P556" s="6">
        <f>4/$P$3</f>
        <v>4.9382716049382713E-2</v>
      </c>
      <c r="R556">
        <v>41</v>
      </c>
      <c r="S556" s="6">
        <f>R556/R601</f>
        <v>7.8244274809160311E-2</v>
      </c>
      <c r="T556" s="6">
        <f>41/$T$3</f>
        <v>7.3214285714285718E-2</v>
      </c>
      <c r="V556">
        <v>30</v>
      </c>
      <c r="W556" s="6">
        <f>V556/V601</f>
        <v>5.9288537549407112E-2</v>
      </c>
      <c r="X556" s="6">
        <f>30/$X$3</f>
        <v>5.5555555555555552E-2</v>
      </c>
      <c r="Z556">
        <v>6</v>
      </c>
      <c r="AA556" s="6">
        <f>Z556/Z601</f>
        <v>5.6603773584905662E-2</v>
      </c>
      <c r="AB556" s="6">
        <f>6/$AB$3</f>
        <v>5.3097345132743362E-2</v>
      </c>
      <c r="AD556">
        <v>8</v>
      </c>
      <c r="AE556" s="6">
        <f>AD556/AD601</f>
        <v>4.2553191489361701E-2</v>
      </c>
      <c r="AF556" s="6">
        <f>8/$AF$3</f>
        <v>4.0404040404040407E-2</v>
      </c>
      <c r="AH556">
        <v>23</v>
      </c>
      <c r="AI556" s="6">
        <f>AH556/AH601</f>
        <v>9.9137931034482762E-2</v>
      </c>
      <c r="AJ556" s="6">
        <f>23/$AJ$3</f>
        <v>9.3117408906882596E-2</v>
      </c>
      <c r="AL556">
        <v>14</v>
      </c>
      <c r="AM556" s="6">
        <f>AL556/AL601</f>
        <v>6.4220183486238536E-2</v>
      </c>
      <c r="AN556" s="6">
        <f>14/$AN$3</f>
        <v>6.0344827586206899E-2</v>
      </c>
      <c r="AP556">
        <v>12</v>
      </c>
      <c r="AQ556" s="6">
        <f>AP556/AP601</f>
        <v>7.1005917159763315E-2</v>
      </c>
      <c r="AR556" s="6">
        <f>12/$AR$3</f>
        <v>6.4516129032258063E-2</v>
      </c>
      <c r="AT556">
        <v>8</v>
      </c>
      <c r="AU556" s="6">
        <f>AT556/AT601</f>
        <v>6.8376068376068383E-2</v>
      </c>
      <c r="AV556" s="6">
        <f>8/$AV$3</f>
        <v>6.4516129032258063E-2</v>
      </c>
      <c r="AX556">
        <v>33</v>
      </c>
      <c r="AY556" s="6">
        <f>AX556/AX601</f>
        <v>8.3544303797468356E-2</v>
      </c>
      <c r="AZ556" s="6">
        <f>33/$AZ$3</f>
        <v>7.6744186046511634E-2</v>
      </c>
      <c r="BB556">
        <v>28</v>
      </c>
      <c r="BC556" s="6">
        <f>BB556/BB601</f>
        <v>6.9135802469135796E-2</v>
      </c>
      <c r="BD556" s="6">
        <f>28/$BD$3</f>
        <v>6.5420560747663545E-2</v>
      </c>
      <c r="BF556">
        <v>10</v>
      </c>
      <c r="BG556" s="6">
        <f>BF556/BF601</f>
        <v>4.3478260869565216E-2</v>
      </c>
      <c r="BH556" s="6">
        <f>10/$BH$3</f>
        <v>4.1322314049586778E-2</v>
      </c>
      <c r="BJ556">
        <v>32</v>
      </c>
      <c r="BK556" s="6">
        <f>BJ556/BJ601</f>
        <v>8.5790884718498661E-2</v>
      </c>
      <c r="BL556" s="6">
        <f>32/$BL$3</f>
        <v>7.9404466501240695E-2</v>
      </c>
      <c r="BN556">
        <v>24</v>
      </c>
      <c r="BO556" s="6">
        <f>BN556/BN601</f>
        <v>6.1068702290076333E-2</v>
      </c>
      <c r="BP556" s="6">
        <f>24/$BP$3</f>
        <v>5.6737588652482268E-2</v>
      </c>
      <c r="BR556">
        <v>15</v>
      </c>
      <c r="BS556" s="6">
        <f>BR556/BR601</f>
        <v>5.6818181818181816E-2</v>
      </c>
      <c r="BT556" s="6">
        <f>15/$BT$3</f>
        <v>5.4744525547445258E-2</v>
      </c>
      <c r="BV556">
        <v>21</v>
      </c>
      <c r="BW556" s="6">
        <f>BV556/BV601</f>
        <v>7.3426573426573424E-2</v>
      </c>
      <c r="BX556" s="6">
        <f>21/$BX$3</f>
        <v>6.8852459016393447E-2</v>
      </c>
      <c r="BZ556">
        <v>15</v>
      </c>
      <c r="CA556" s="6">
        <f>BZ556/BZ601</f>
        <v>7.1090047393364927E-2</v>
      </c>
      <c r="CB556" s="6">
        <f>15/$CB$3</f>
        <v>6.6964285714285712E-2</v>
      </c>
      <c r="CD556">
        <v>16</v>
      </c>
      <c r="CE556" s="6">
        <f>CD556/CD601</f>
        <v>7.1748878923766815E-2</v>
      </c>
      <c r="CF556" s="6">
        <f>16/$CF$3</f>
        <v>6.6390041493775934E-2</v>
      </c>
      <c r="CH556">
        <v>19</v>
      </c>
      <c r="CI556" s="6">
        <f>CH556/CH601</f>
        <v>6.1290322580645158E-2</v>
      </c>
      <c r="CJ556" s="6">
        <f>19/$CJ$3</f>
        <v>5.7575757575757579E-2</v>
      </c>
    </row>
    <row r="557" spans="1:88" x14ac:dyDescent="0.35">
      <c r="A557" s="1" t="s">
        <v>1595</v>
      </c>
      <c r="B557">
        <v>86</v>
      </c>
      <c r="C557" s="6">
        <f>B557/B601</f>
        <v>8.3495145631067955E-2</v>
      </c>
      <c r="D557" s="6">
        <f>86/$D$3</f>
        <v>7.8181818181818186E-2</v>
      </c>
      <c r="F557">
        <v>78</v>
      </c>
      <c r="G557" s="6">
        <f>F557/F601</f>
        <v>8.9861751152073732E-2</v>
      </c>
      <c r="H557" s="6">
        <f>78/$H$3</f>
        <v>8.5620197585071348E-2</v>
      </c>
      <c r="J557">
        <v>43</v>
      </c>
      <c r="K557" s="6">
        <f>J557/J601</f>
        <v>0.10238095238095238</v>
      </c>
      <c r="L557" s="6">
        <f>43/$L$3</f>
        <v>9.9078341013824886E-2</v>
      </c>
      <c r="N557">
        <v>4</v>
      </c>
      <c r="O557" s="6">
        <f>N557/N601</f>
        <v>5.1948051948051951E-2</v>
      </c>
      <c r="P557" s="6">
        <f>4/$P$3</f>
        <v>4.9382716049382713E-2</v>
      </c>
      <c r="R557">
        <v>48</v>
      </c>
      <c r="S557" s="6">
        <f>R557/R601</f>
        <v>9.1603053435114504E-2</v>
      </c>
      <c r="T557" s="6">
        <f>48/$T$3</f>
        <v>8.5714285714285715E-2</v>
      </c>
      <c r="V557">
        <v>38</v>
      </c>
      <c r="W557" s="6">
        <f>V557/V601</f>
        <v>7.5098814229249009E-2</v>
      </c>
      <c r="X557" s="6">
        <f>38/$X$3</f>
        <v>7.0370370370370375E-2</v>
      </c>
      <c r="Z557">
        <v>7</v>
      </c>
      <c r="AA557" s="6">
        <f>Z557/Z601</f>
        <v>6.6037735849056603E-2</v>
      </c>
      <c r="AB557" s="6">
        <f>7/$AB$3</f>
        <v>6.1946902654867256E-2</v>
      </c>
      <c r="AD557">
        <v>9</v>
      </c>
      <c r="AE557" s="6">
        <f>AD557/AD601</f>
        <v>4.7872340425531915E-2</v>
      </c>
      <c r="AF557" s="6">
        <f>9/$AF$3</f>
        <v>4.5454545454545456E-2</v>
      </c>
      <c r="AH557">
        <v>25</v>
      </c>
      <c r="AI557" s="6">
        <f>AH557/AH601</f>
        <v>0.10775862068965517</v>
      </c>
      <c r="AJ557" s="6">
        <f>25/$AJ$3</f>
        <v>0.10121457489878542</v>
      </c>
      <c r="AL557">
        <v>20</v>
      </c>
      <c r="AM557" s="6">
        <f>AL557/AL601</f>
        <v>9.1743119266055051E-2</v>
      </c>
      <c r="AN557" s="6">
        <f>20/$AN$3</f>
        <v>8.6206896551724144E-2</v>
      </c>
      <c r="AP557">
        <v>14</v>
      </c>
      <c r="AQ557" s="6">
        <f>AP557/AP601</f>
        <v>8.2840236686390539E-2</v>
      </c>
      <c r="AR557" s="6">
        <f>14/$AR$3</f>
        <v>7.5268817204301078E-2</v>
      </c>
      <c r="AT557">
        <v>11</v>
      </c>
      <c r="AU557" s="6">
        <f>AT557/AT601</f>
        <v>9.4017094017094016E-2</v>
      </c>
      <c r="AV557" s="6">
        <f>11/$AV$3</f>
        <v>8.8709677419354843E-2</v>
      </c>
      <c r="AX557">
        <v>48</v>
      </c>
      <c r="AY557" s="6">
        <f>AX557/AX601</f>
        <v>0.12151898734177215</v>
      </c>
      <c r="AZ557" s="6">
        <f>48/$AZ$3</f>
        <v>0.11162790697674418</v>
      </c>
      <c r="BB557">
        <v>25</v>
      </c>
      <c r="BC557" s="6">
        <f>BB557/BB601</f>
        <v>6.1728395061728392E-2</v>
      </c>
      <c r="BD557" s="6">
        <f>25/$BD$3</f>
        <v>5.8411214953271028E-2</v>
      </c>
      <c r="BF557">
        <v>13</v>
      </c>
      <c r="BG557" s="6">
        <f>BF557/BF601</f>
        <v>5.6521739130434782E-2</v>
      </c>
      <c r="BH557" s="6">
        <f>13/$BH$3</f>
        <v>5.3719008264462811E-2</v>
      </c>
      <c r="BJ557">
        <v>45</v>
      </c>
      <c r="BK557" s="6">
        <f>BJ557/BJ601</f>
        <v>0.12064343163538874</v>
      </c>
      <c r="BL557" s="6">
        <f>45/$BL$3</f>
        <v>0.11166253101736973</v>
      </c>
      <c r="BN557">
        <v>25</v>
      </c>
      <c r="BO557" s="6">
        <f>BN557/BN601</f>
        <v>6.3613231552162849E-2</v>
      </c>
      <c r="BP557" s="6">
        <f>25/$BP$3</f>
        <v>5.9101654846335699E-2</v>
      </c>
      <c r="BR557">
        <v>16</v>
      </c>
      <c r="BS557" s="6">
        <f>BR557/BR601</f>
        <v>6.0606060606060608E-2</v>
      </c>
      <c r="BT557" s="6">
        <f>16/$BT$3</f>
        <v>5.8394160583941604E-2</v>
      </c>
      <c r="BV557">
        <v>19</v>
      </c>
      <c r="BW557" s="6">
        <f>BV557/BV601</f>
        <v>6.6433566433566432E-2</v>
      </c>
      <c r="BX557" s="6">
        <f>19/$BX$3</f>
        <v>6.2295081967213117E-2</v>
      </c>
      <c r="BZ557">
        <v>20</v>
      </c>
      <c r="CA557" s="6">
        <f>BZ557/BZ601</f>
        <v>9.4786729857819899E-2</v>
      </c>
      <c r="CB557" s="6">
        <f>20/$CB$3</f>
        <v>8.9285714285714288E-2</v>
      </c>
      <c r="CD557">
        <v>21</v>
      </c>
      <c r="CE557" s="6">
        <f>CD557/CD601</f>
        <v>9.417040358744394E-2</v>
      </c>
      <c r="CF557" s="6">
        <f>21/$CF$3</f>
        <v>8.7136929460580909E-2</v>
      </c>
      <c r="CH557">
        <v>26</v>
      </c>
      <c r="CI557" s="6">
        <f>CH557/CH601</f>
        <v>8.387096774193549E-2</v>
      </c>
      <c r="CJ557" s="6">
        <f>26/$CJ$3</f>
        <v>7.8787878787878782E-2</v>
      </c>
    </row>
    <row r="558" spans="1:88" x14ac:dyDescent="0.35">
      <c r="A558" s="1" t="s">
        <v>1596</v>
      </c>
      <c r="B558">
        <v>67</v>
      </c>
      <c r="C558" s="6">
        <f>B558/B601</f>
        <v>6.5048543689320393E-2</v>
      </c>
      <c r="D558" s="6">
        <f>67/$D$3</f>
        <v>6.0909090909090906E-2</v>
      </c>
      <c r="F558">
        <v>63</v>
      </c>
      <c r="G558" s="6">
        <f>F558/F601</f>
        <v>7.2580645161290328E-2</v>
      </c>
      <c r="H558" s="6">
        <f>63/$H$3</f>
        <v>6.9154774972557634E-2</v>
      </c>
      <c r="J558">
        <v>37</v>
      </c>
      <c r="K558" s="6">
        <f>J558/J601</f>
        <v>8.8095238095238101E-2</v>
      </c>
      <c r="L558" s="6">
        <f>37/$L$3</f>
        <v>8.5253456221198162E-2</v>
      </c>
      <c r="N558">
        <v>1</v>
      </c>
      <c r="O558" s="6">
        <f>N558/N601</f>
        <v>1.2987012987012988E-2</v>
      </c>
      <c r="P558" s="6">
        <f>1/$P$3</f>
        <v>1.2345679012345678E-2</v>
      </c>
      <c r="R558">
        <v>35</v>
      </c>
      <c r="S558" s="6">
        <f>R558/R601</f>
        <v>6.6793893129770993E-2</v>
      </c>
      <c r="T558" s="6">
        <f>35/$T$3</f>
        <v>6.25E-2</v>
      </c>
      <c r="V558">
        <v>32</v>
      </c>
      <c r="W558" s="6">
        <f>V558/V601</f>
        <v>6.3241106719367585E-2</v>
      </c>
      <c r="X558" s="6">
        <f>32/$X$3</f>
        <v>5.9259259259259262E-2</v>
      </c>
      <c r="Z558">
        <v>5</v>
      </c>
      <c r="AA558" s="6">
        <f>Z558/Z601</f>
        <v>4.716981132075472E-2</v>
      </c>
      <c r="AB558" s="6">
        <f>5/$AB$3</f>
        <v>4.4247787610619468E-2</v>
      </c>
      <c r="AD558">
        <v>8</v>
      </c>
      <c r="AE558" s="6">
        <f>AD558/AD601</f>
        <v>4.2553191489361701E-2</v>
      </c>
      <c r="AF558" s="6">
        <f>8/$AF$3</f>
        <v>4.0404040404040407E-2</v>
      </c>
      <c r="AH558">
        <v>16</v>
      </c>
      <c r="AI558" s="6">
        <f>AH558/AH601</f>
        <v>6.8965517241379309E-2</v>
      </c>
      <c r="AJ558" s="6">
        <f>16/$AJ$3</f>
        <v>6.4777327935222673E-2</v>
      </c>
      <c r="AL558">
        <v>19</v>
      </c>
      <c r="AM558" s="6">
        <f>AL558/AL601</f>
        <v>8.7155963302752298E-2</v>
      </c>
      <c r="AN558" s="6">
        <f>19/$AN$3</f>
        <v>8.1896551724137928E-2</v>
      </c>
      <c r="AP558">
        <v>12</v>
      </c>
      <c r="AQ558" s="6">
        <f>AP558/AP601</f>
        <v>7.1005917159763315E-2</v>
      </c>
      <c r="AR558" s="6">
        <f>12/$AR$3</f>
        <v>6.4516129032258063E-2</v>
      </c>
      <c r="AT558">
        <v>7</v>
      </c>
      <c r="AU558" s="6">
        <f>AT558/AT601</f>
        <v>5.9829059829059832E-2</v>
      </c>
      <c r="AV558" s="6">
        <f>7/$AV$3</f>
        <v>5.6451612903225805E-2</v>
      </c>
      <c r="AX558">
        <v>35</v>
      </c>
      <c r="AY558" s="6">
        <f>AX558/AX601</f>
        <v>8.8607594936708861E-2</v>
      </c>
      <c r="AZ558" s="6">
        <f>35/$AZ$3</f>
        <v>8.1395348837209308E-2</v>
      </c>
      <c r="BB558">
        <v>21</v>
      </c>
      <c r="BC558" s="6">
        <f>BB558/BB601</f>
        <v>5.185185185185185E-2</v>
      </c>
      <c r="BD558" s="6">
        <f>21/$BD$3</f>
        <v>4.9065420560747662E-2</v>
      </c>
      <c r="BF558">
        <v>11</v>
      </c>
      <c r="BG558" s="6">
        <f>BF558/BF601</f>
        <v>4.7826086956521741E-2</v>
      </c>
      <c r="BH558" s="6">
        <f>11/$BH$3</f>
        <v>4.5454545454545456E-2</v>
      </c>
      <c r="BJ558">
        <v>31</v>
      </c>
      <c r="BK558" s="6">
        <f>BJ558/BJ601</f>
        <v>8.3109919571045576E-2</v>
      </c>
      <c r="BL558" s="6">
        <f>31/$BL$3</f>
        <v>7.6923076923076927E-2</v>
      </c>
      <c r="BN558">
        <v>20</v>
      </c>
      <c r="BO558" s="6">
        <f>BN558/BN601</f>
        <v>5.0890585241730277E-2</v>
      </c>
      <c r="BP558" s="6">
        <f>20/$BP$3</f>
        <v>4.7281323877068557E-2</v>
      </c>
      <c r="BR558">
        <v>16</v>
      </c>
      <c r="BS558" s="6">
        <f>BR558/BR601</f>
        <v>6.0606060606060608E-2</v>
      </c>
      <c r="BT558" s="6">
        <f>16/$BT$3</f>
        <v>5.8394160583941604E-2</v>
      </c>
      <c r="BV558">
        <v>17</v>
      </c>
      <c r="BW558" s="6">
        <f>BV558/BV601</f>
        <v>5.944055944055944E-2</v>
      </c>
      <c r="BX558" s="6">
        <f>17/$BX$3</f>
        <v>5.5737704918032788E-2</v>
      </c>
      <c r="BZ558">
        <v>17</v>
      </c>
      <c r="CA558" s="6">
        <f>BZ558/BZ601</f>
        <v>8.0568720379146919E-2</v>
      </c>
      <c r="CB558" s="6">
        <f>17/$CB$3</f>
        <v>7.5892857142857137E-2</v>
      </c>
      <c r="CD558">
        <v>15</v>
      </c>
      <c r="CE558" s="6">
        <f>CD558/CD601</f>
        <v>6.726457399103139E-2</v>
      </c>
      <c r="CF558" s="6">
        <f>15/$CF$3</f>
        <v>6.2240663900414939E-2</v>
      </c>
      <c r="CH558">
        <v>18</v>
      </c>
      <c r="CI558" s="6">
        <f>CH558/CH601</f>
        <v>5.8064516129032261E-2</v>
      </c>
      <c r="CJ558" s="6">
        <f>18/$CJ$3</f>
        <v>5.4545454545454543E-2</v>
      </c>
    </row>
    <row r="559" spans="1:88" x14ac:dyDescent="0.35">
      <c r="A559" s="1" t="s">
        <v>1597</v>
      </c>
      <c r="B559">
        <v>91</v>
      </c>
      <c r="C559" s="6">
        <f>B559/B601</f>
        <v>8.8349514563106801E-2</v>
      </c>
      <c r="D559" s="6">
        <f>91/$D$3</f>
        <v>8.2727272727272733E-2</v>
      </c>
      <c r="F559">
        <v>83</v>
      </c>
      <c r="G559" s="6">
        <f>F559/F601</f>
        <v>9.5622119815668205E-2</v>
      </c>
      <c r="H559" s="6">
        <f>83/$H$3</f>
        <v>9.110867178924259E-2</v>
      </c>
      <c r="J559">
        <v>40</v>
      </c>
      <c r="K559" s="6">
        <f>J559/J601</f>
        <v>9.5238095238095233E-2</v>
      </c>
      <c r="L559" s="6">
        <f>40/$L$3</f>
        <v>9.2165898617511524E-2</v>
      </c>
      <c r="N559">
        <v>8</v>
      </c>
      <c r="O559" s="6">
        <f>N559/N601</f>
        <v>0.1038961038961039</v>
      </c>
      <c r="P559" s="6">
        <f>8/$P$3</f>
        <v>9.8765432098765427E-2</v>
      </c>
      <c r="R559">
        <v>46</v>
      </c>
      <c r="S559" s="6">
        <f>R559/R601</f>
        <v>8.7786259541984726E-2</v>
      </c>
      <c r="T559" s="6">
        <f>46/$T$3</f>
        <v>8.2142857142857142E-2</v>
      </c>
      <c r="V559">
        <v>45</v>
      </c>
      <c r="W559" s="6">
        <f>V559/V601</f>
        <v>8.8932806324110672E-2</v>
      </c>
      <c r="X559" s="6">
        <f>45/$X$3</f>
        <v>8.3333333333333329E-2</v>
      </c>
      <c r="Z559">
        <v>4</v>
      </c>
      <c r="AA559" s="6">
        <f>Z559/Z601</f>
        <v>3.7735849056603772E-2</v>
      </c>
      <c r="AB559" s="6">
        <f>4/$AB$3</f>
        <v>3.5398230088495575E-2</v>
      </c>
      <c r="AD559">
        <v>10</v>
      </c>
      <c r="AE559" s="6">
        <f>AD559/AD601</f>
        <v>5.3191489361702128E-2</v>
      </c>
      <c r="AF559" s="6">
        <f>10/$AF$3</f>
        <v>5.0505050505050504E-2</v>
      </c>
      <c r="AH559">
        <v>26</v>
      </c>
      <c r="AI559" s="6">
        <f>AH559/AH601</f>
        <v>0.11206896551724138</v>
      </c>
      <c r="AJ559" s="6">
        <f>26/$AJ$3</f>
        <v>0.10526315789473684</v>
      </c>
      <c r="AL559">
        <v>25</v>
      </c>
      <c r="AM559" s="6">
        <f>AL559/AL601</f>
        <v>0.11467889908256881</v>
      </c>
      <c r="AN559" s="6">
        <f>25/$AN$3</f>
        <v>0.10775862068965517</v>
      </c>
      <c r="AP559">
        <v>13</v>
      </c>
      <c r="AQ559" s="6">
        <f>AP559/AP601</f>
        <v>7.6923076923076927E-2</v>
      </c>
      <c r="AR559" s="6">
        <f>13/$AR$3</f>
        <v>6.9892473118279563E-2</v>
      </c>
      <c r="AT559">
        <v>13</v>
      </c>
      <c r="AU559" s="6">
        <f>AT559/AT601</f>
        <v>0.1111111111111111</v>
      </c>
      <c r="AV559" s="6">
        <f>13/$AV$3</f>
        <v>0.10483870967741936</v>
      </c>
      <c r="AX559">
        <v>44</v>
      </c>
      <c r="AY559" s="6">
        <f>AX559/AX601</f>
        <v>0.11139240506329114</v>
      </c>
      <c r="AZ559" s="6">
        <f>44/$AZ$3</f>
        <v>0.10232558139534884</v>
      </c>
      <c r="BB559">
        <v>32</v>
      </c>
      <c r="BC559" s="6">
        <f>BB559/BB601</f>
        <v>7.9012345679012344E-2</v>
      </c>
      <c r="BD559" s="6">
        <f>32/$BD$3</f>
        <v>7.476635514018691E-2</v>
      </c>
      <c r="BF559">
        <v>15</v>
      </c>
      <c r="BG559" s="6">
        <f>BF559/BF601</f>
        <v>6.5217391304347824E-2</v>
      </c>
      <c r="BH559" s="6">
        <f>15/$BH$3</f>
        <v>6.1983471074380167E-2</v>
      </c>
      <c r="BJ559">
        <v>40</v>
      </c>
      <c r="BK559" s="6">
        <f>BJ559/BJ601</f>
        <v>0.10723860589812333</v>
      </c>
      <c r="BL559" s="6">
        <f>40/$BL$3</f>
        <v>9.9255583126550875E-2</v>
      </c>
      <c r="BN559">
        <v>33</v>
      </c>
      <c r="BO559" s="6">
        <f>BN559/BN601</f>
        <v>8.3969465648854963E-2</v>
      </c>
      <c r="BP559" s="6">
        <f>33/$BP$3</f>
        <v>7.8014184397163122E-2</v>
      </c>
      <c r="BR559">
        <v>18</v>
      </c>
      <c r="BS559" s="6">
        <f>BR559/BR601</f>
        <v>6.8181818181818177E-2</v>
      </c>
      <c r="BT559" s="6">
        <f>18/$BT$3</f>
        <v>6.569343065693431E-2</v>
      </c>
      <c r="BV559">
        <v>28</v>
      </c>
      <c r="BW559" s="6">
        <f>BV559/BV601</f>
        <v>9.7902097902097904E-2</v>
      </c>
      <c r="BX559" s="6">
        <f>28/$BX$3</f>
        <v>9.1803278688524587E-2</v>
      </c>
      <c r="BZ559">
        <v>24</v>
      </c>
      <c r="CA559" s="6">
        <f>BZ559/BZ601</f>
        <v>0.11374407582938388</v>
      </c>
      <c r="CB559" s="6">
        <f>24/$CB$3</f>
        <v>0.10714285714285714</v>
      </c>
      <c r="CD559">
        <v>18</v>
      </c>
      <c r="CE559" s="6">
        <f>CD559/CD601</f>
        <v>8.0717488789237665E-2</v>
      </c>
      <c r="CF559" s="6">
        <f>18/$CF$3</f>
        <v>7.4688796680497924E-2</v>
      </c>
      <c r="CH559">
        <v>21</v>
      </c>
      <c r="CI559" s="6">
        <f>CH559/CH601</f>
        <v>6.7741935483870974E-2</v>
      </c>
      <c r="CJ559" s="6">
        <f>21/$CJ$3</f>
        <v>6.363636363636363E-2</v>
      </c>
    </row>
    <row r="560" spans="1:88" x14ac:dyDescent="0.35">
      <c r="A560" s="1" t="s">
        <v>1598</v>
      </c>
      <c r="B560">
        <v>70</v>
      </c>
      <c r="C560" s="6">
        <f>B560/B601</f>
        <v>6.7961165048543687E-2</v>
      </c>
      <c r="D560" s="6">
        <f>70/$D$3</f>
        <v>6.363636363636363E-2</v>
      </c>
      <c r="F560">
        <v>65</v>
      </c>
      <c r="G560" s="6">
        <f>F560/F601</f>
        <v>7.4884792626728106E-2</v>
      </c>
      <c r="H560" s="6">
        <f>65/$H$3</f>
        <v>7.1350164654226125E-2</v>
      </c>
      <c r="J560">
        <v>34</v>
      </c>
      <c r="K560" s="6">
        <f>J560/J601</f>
        <v>8.0952380952380956E-2</v>
      </c>
      <c r="L560" s="6">
        <f>34/$L$3</f>
        <v>7.8341013824884786E-2</v>
      </c>
      <c r="N560">
        <v>4</v>
      </c>
      <c r="O560" s="6">
        <f>N560/N601</f>
        <v>5.1948051948051951E-2</v>
      </c>
      <c r="P560" s="6">
        <f>4/$P$3</f>
        <v>4.9382716049382713E-2</v>
      </c>
      <c r="R560">
        <v>34</v>
      </c>
      <c r="S560" s="6">
        <f>R560/R601</f>
        <v>6.4885496183206104E-2</v>
      </c>
      <c r="T560" s="6">
        <f>34/$T$3</f>
        <v>6.0714285714285714E-2</v>
      </c>
      <c r="V560">
        <v>36</v>
      </c>
      <c r="W560" s="6">
        <f>V560/V601</f>
        <v>7.1146245059288543E-2</v>
      </c>
      <c r="X560" s="6">
        <f>36/$X$3</f>
        <v>6.6666666666666666E-2</v>
      </c>
      <c r="Z560">
        <v>3</v>
      </c>
      <c r="AA560" s="6">
        <f>Z560/Z601</f>
        <v>2.8301886792452831E-2</v>
      </c>
      <c r="AB560" s="6">
        <f>3/$AB$3</f>
        <v>2.6548672566371681E-2</v>
      </c>
      <c r="AD560">
        <v>9</v>
      </c>
      <c r="AE560" s="6">
        <f>AD560/AD601</f>
        <v>4.7872340425531915E-2</v>
      </c>
      <c r="AF560" s="6">
        <f>9/$AF$3</f>
        <v>4.5454545454545456E-2</v>
      </c>
      <c r="AH560">
        <v>20</v>
      </c>
      <c r="AI560" s="6">
        <f>AH560/AH601</f>
        <v>8.6206896551724144E-2</v>
      </c>
      <c r="AJ560" s="6">
        <f>20/$AJ$3</f>
        <v>8.0971659919028341E-2</v>
      </c>
      <c r="AL560">
        <v>11</v>
      </c>
      <c r="AM560" s="6">
        <f>AL560/AL601</f>
        <v>5.0458715596330278E-2</v>
      </c>
      <c r="AN560" s="6">
        <f>11/$AN$3</f>
        <v>4.7413793103448273E-2</v>
      </c>
      <c r="AP560">
        <v>13</v>
      </c>
      <c r="AQ560" s="6">
        <f>AP560/AP601</f>
        <v>7.6923076923076927E-2</v>
      </c>
      <c r="AR560" s="6">
        <f>13/$AR$3</f>
        <v>6.9892473118279563E-2</v>
      </c>
      <c r="AT560">
        <v>14</v>
      </c>
      <c r="AU560" s="6">
        <f>AT560/AT601</f>
        <v>0.11965811965811966</v>
      </c>
      <c r="AV560" s="6">
        <f>14/$AV$3</f>
        <v>0.11290322580645161</v>
      </c>
      <c r="AX560">
        <v>31</v>
      </c>
      <c r="AY560" s="6">
        <f>AX560/AX601</f>
        <v>7.848101265822785E-2</v>
      </c>
      <c r="AZ560" s="6">
        <f>31/$AZ$3</f>
        <v>7.2093023255813959E-2</v>
      </c>
      <c r="BB560">
        <v>25</v>
      </c>
      <c r="BC560" s="6">
        <f>BB560/BB601</f>
        <v>6.1728395061728392E-2</v>
      </c>
      <c r="BD560" s="6">
        <f>25/$BD$3</f>
        <v>5.8411214953271028E-2</v>
      </c>
      <c r="BF560">
        <v>14</v>
      </c>
      <c r="BG560" s="6">
        <f>BF560/BF601</f>
        <v>6.0869565217391307E-2</v>
      </c>
      <c r="BH560" s="6">
        <f>14/$BH$3</f>
        <v>5.7851239669421489E-2</v>
      </c>
      <c r="BJ560">
        <v>23</v>
      </c>
      <c r="BK560" s="6">
        <f>BJ560/BJ601</f>
        <v>6.1662198391420911E-2</v>
      </c>
      <c r="BL560" s="6">
        <f>23/$BL$3</f>
        <v>5.7071960297766747E-2</v>
      </c>
      <c r="BN560">
        <v>31</v>
      </c>
      <c r="BO560" s="6">
        <f>BN560/BN601</f>
        <v>7.8880407124681931E-2</v>
      </c>
      <c r="BP560" s="6">
        <f>31/$BP$3</f>
        <v>7.328605200945626E-2</v>
      </c>
      <c r="BR560">
        <v>16</v>
      </c>
      <c r="BS560" s="6">
        <f>BR560/BR601</f>
        <v>6.0606060606060608E-2</v>
      </c>
      <c r="BT560" s="6">
        <f>16/$BT$3</f>
        <v>5.8394160583941604E-2</v>
      </c>
      <c r="BV560">
        <v>17</v>
      </c>
      <c r="BW560" s="6">
        <f>BV560/BV601</f>
        <v>5.944055944055944E-2</v>
      </c>
      <c r="BX560" s="6">
        <f>17/$BX$3</f>
        <v>5.5737704918032788E-2</v>
      </c>
      <c r="BZ560">
        <v>18</v>
      </c>
      <c r="CA560" s="6">
        <f>BZ560/BZ601</f>
        <v>8.5308056872037921E-2</v>
      </c>
      <c r="CB560" s="6">
        <f>18/$CB$3</f>
        <v>8.0357142857142863E-2</v>
      </c>
      <c r="CD560">
        <v>18</v>
      </c>
      <c r="CE560" s="6">
        <f>CD560/CD601</f>
        <v>8.0717488789237665E-2</v>
      </c>
      <c r="CF560" s="6">
        <f>18/$CF$3</f>
        <v>7.4688796680497924E-2</v>
      </c>
      <c r="CH560">
        <v>17</v>
      </c>
      <c r="CI560" s="6">
        <f>CH560/CH601</f>
        <v>5.4838709677419356E-2</v>
      </c>
      <c r="CJ560" s="6">
        <f>17/$CJ$3</f>
        <v>5.1515151515151514E-2</v>
      </c>
    </row>
    <row r="561" spans="1:88" x14ac:dyDescent="0.35">
      <c r="A561" s="1" t="s">
        <v>1599</v>
      </c>
      <c r="B561">
        <v>60</v>
      </c>
      <c r="C561" s="6">
        <f>B561/B601</f>
        <v>5.8252427184466021E-2</v>
      </c>
      <c r="D561" s="6">
        <f>60/$D$3</f>
        <v>5.4545454545454543E-2</v>
      </c>
      <c r="F561">
        <v>54</v>
      </c>
      <c r="G561" s="6">
        <f>F561/F601</f>
        <v>6.2211981566820278E-2</v>
      </c>
      <c r="H561" s="6">
        <f>54/$H$3</f>
        <v>5.9275521405049394E-2</v>
      </c>
      <c r="J561">
        <v>37</v>
      </c>
      <c r="K561" s="6">
        <f>J561/J601</f>
        <v>8.8095238095238101E-2</v>
      </c>
      <c r="L561" s="6">
        <f>37/$L$3</f>
        <v>8.5253456221198162E-2</v>
      </c>
      <c r="N561">
        <v>2</v>
      </c>
      <c r="O561" s="6">
        <f>N561/N601</f>
        <v>2.5974025974025976E-2</v>
      </c>
      <c r="P561" s="6">
        <f>2/$P$3</f>
        <v>2.4691358024691357E-2</v>
      </c>
      <c r="R561">
        <v>36</v>
      </c>
      <c r="S561" s="6">
        <f>R561/R601</f>
        <v>6.8702290076335881E-2</v>
      </c>
      <c r="T561" s="6">
        <f>36/$T$3</f>
        <v>6.4285714285714279E-2</v>
      </c>
      <c r="V561">
        <v>24</v>
      </c>
      <c r="W561" s="6">
        <f>V561/V601</f>
        <v>4.7430830039525688E-2</v>
      </c>
      <c r="X561" s="6">
        <f>24/$X$3</f>
        <v>4.4444444444444446E-2</v>
      </c>
      <c r="Z561">
        <v>2</v>
      </c>
      <c r="AA561" s="6">
        <f>Z561/Z601</f>
        <v>1.8867924528301886E-2</v>
      </c>
      <c r="AB561" s="6">
        <f>2/$AB$3</f>
        <v>1.7699115044247787E-2</v>
      </c>
      <c r="AD561">
        <v>8</v>
      </c>
      <c r="AE561" s="6">
        <f>AD561/AD601</f>
        <v>4.2553191489361701E-2</v>
      </c>
      <c r="AF561" s="6">
        <f>8/$AF$3</f>
        <v>4.0404040404040407E-2</v>
      </c>
      <c r="AH561">
        <v>16</v>
      </c>
      <c r="AI561" s="6">
        <f>AH561/AH601</f>
        <v>6.8965517241379309E-2</v>
      </c>
      <c r="AJ561" s="6">
        <f>16/$AJ$3</f>
        <v>6.4777327935222673E-2</v>
      </c>
      <c r="AL561">
        <v>16</v>
      </c>
      <c r="AM561" s="6">
        <f>AL561/AL601</f>
        <v>7.3394495412844041E-2</v>
      </c>
      <c r="AN561" s="6">
        <f>16/$AN$3</f>
        <v>6.8965517241379309E-2</v>
      </c>
      <c r="AP561">
        <v>11</v>
      </c>
      <c r="AQ561" s="6">
        <f>AP561/AP601</f>
        <v>6.5088757396449703E-2</v>
      </c>
      <c r="AR561" s="6">
        <f>11/$AR$3</f>
        <v>5.9139784946236562E-2</v>
      </c>
      <c r="AT561">
        <v>7</v>
      </c>
      <c r="AU561" s="6">
        <f>AT561/AT601</f>
        <v>5.9829059829059832E-2</v>
      </c>
      <c r="AV561" s="6">
        <f>7/$AV$3</f>
        <v>5.6451612903225805E-2</v>
      </c>
      <c r="AX561">
        <v>32</v>
      </c>
      <c r="AY561" s="6">
        <f>AX561/AX601</f>
        <v>8.1012658227848103E-2</v>
      </c>
      <c r="AZ561" s="6">
        <f>32/$AZ$3</f>
        <v>7.441860465116279E-2</v>
      </c>
      <c r="BB561">
        <v>17</v>
      </c>
      <c r="BC561" s="6">
        <f>BB561/BB601</f>
        <v>4.1975308641975309E-2</v>
      </c>
      <c r="BD561" s="6">
        <f>17/$BD$3</f>
        <v>3.9719626168224297E-2</v>
      </c>
      <c r="BF561">
        <v>11</v>
      </c>
      <c r="BG561" s="6">
        <f>BF561/BF601</f>
        <v>4.7826086956521741E-2</v>
      </c>
      <c r="BH561" s="6">
        <f>11/$BH$3</f>
        <v>4.5454545454545456E-2</v>
      </c>
      <c r="BJ561">
        <v>24</v>
      </c>
      <c r="BK561" s="6">
        <f>BJ561/BJ601</f>
        <v>6.4343163538873996E-2</v>
      </c>
      <c r="BL561" s="6">
        <f>24/$BL$3</f>
        <v>5.9553349875930521E-2</v>
      </c>
      <c r="BN561">
        <v>21</v>
      </c>
      <c r="BO561" s="6">
        <f>BN561/BN601</f>
        <v>5.3435114503816793E-2</v>
      </c>
      <c r="BP561" s="6">
        <f>21/$BP$3</f>
        <v>4.9645390070921988E-2</v>
      </c>
      <c r="BR561">
        <v>15</v>
      </c>
      <c r="BS561" s="6">
        <f>BR561/BR601</f>
        <v>5.6818181818181816E-2</v>
      </c>
      <c r="BT561" s="6">
        <f>15/$BT$3</f>
        <v>5.4744525547445258E-2</v>
      </c>
      <c r="BV561">
        <v>16</v>
      </c>
      <c r="BW561" s="6">
        <f>BV561/BV601</f>
        <v>5.5944055944055944E-2</v>
      </c>
      <c r="BX561" s="6">
        <f>16/$BX$3</f>
        <v>5.2459016393442623E-2</v>
      </c>
      <c r="BZ561">
        <v>19</v>
      </c>
      <c r="CA561" s="6">
        <f>BZ561/BZ601</f>
        <v>9.004739336492891E-2</v>
      </c>
      <c r="CB561" s="6">
        <f>19/$CB$3</f>
        <v>8.4821428571428575E-2</v>
      </c>
      <c r="CD561">
        <v>15</v>
      </c>
      <c r="CE561" s="6">
        <f>CD561/CD601</f>
        <v>6.726457399103139E-2</v>
      </c>
      <c r="CF561" s="6">
        <f>15/$CF$3</f>
        <v>6.2240663900414939E-2</v>
      </c>
      <c r="CH561">
        <v>10</v>
      </c>
      <c r="CI561" s="6">
        <f>CH561/CH601</f>
        <v>3.2258064516129031E-2</v>
      </c>
      <c r="CJ561" s="6">
        <f>10/$CJ$3</f>
        <v>3.0303030303030304E-2</v>
      </c>
    </row>
    <row r="562" spans="1:88" x14ac:dyDescent="0.35">
      <c r="A562" s="1" t="s">
        <v>1600</v>
      </c>
      <c r="B562">
        <v>38</v>
      </c>
      <c r="C562" s="6">
        <f>B562/B601</f>
        <v>3.6893203883495145E-2</v>
      </c>
      <c r="D562" s="6">
        <f>38/$D$3</f>
        <v>3.4545454545454546E-2</v>
      </c>
      <c r="F562">
        <v>31</v>
      </c>
      <c r="G562" s="6">
        <f>F562/F601</f>
        <v>3.5714285714285712E-2</v>
      </c>
      <c r="H562" s="6">
        <f>31/$H$3</f>
        <v>3.4028540065861687E-2</v>
      </c>
      <c r="J562">
        <v>20</v>
      </c>
      <c r="K562" s="6">
        <f>J562/J601</f>
        <v>4.7619047619047616E-2</v>
      </c>
      <c r="L562" s="6">
        <f>20/$L$3</f>
        <v>4.6082949308755762E-2</v>
      </c>
      <c r="N562">
        <v>5</v>
      </c>
      <c r="O562" s="6">
        <f>N562/N601</f>
        <v>6.4935064935064929E-2</v>
      </c>
      <c r="P562" s="6">
        <f>5/$P$3</f>
        <v>6.1728395061728392E-2</v>
      </c>
      <c r="R562">
        <v>18</v>
      </c>
      <c r="S562" s="6">
        <f>R562/R601</f>
        <v>3.4351145038167941E-2</v>
      </c>
      <c r="T562" s="6">
        <f>18/$T$3</f>
        <v>3.214285714285714E-2</v>
      </c>
      <c r="V562">
        <v>20</v>
      </c>
      <c r="W562" s="6">
        <f>V562/V601</f>
        <v>3.9525691699604744E-2</v>
      </c>
      <c r="X562" s="6">
        <f>20/$X$3</f>
        <v>3.7037037037037035E-2</v>
      </c>
      <c r="Z562">
        <v>3</v>
      </c>
      <c r="AA562" s="6">
        <f>Z562/Z601</f>
        <v>2.8301886792452831E-2</v>
      </c>
      <c r="AB562" s="6">
        <f>3/$AB$3</f>
        <v>2.6548672566371681E-2</v>
      </c>
      <c r="AD562">
        <v>3</v>
      </c>
      <c r="AE562" s="6">
        <f>AD562/AD601</f>
        <v>1.5957446808510637E-2</v>
      </c>
      <c r="AF562" s="6">
        <f>3/$AF$3</f>
        <v>1.5151515151515152E-2</v>
      </c>
      <c r="AH562">
        <v>8</v>
      </c>
      <c r="AI562" s="6">
        <f>AH562/AH601</f>
        <v>3.4482758620689655E-2</v>
      </c>
      <c r="AJ562" s="6">
        <f>8/$AJ$3</f>
        <v>3.2388663967611336E-2</v>
      </c>
      <c r="AL562">
        <v>10</v>
      </c>
      <c r="AM562" s="6">
        <f>AL562/AL601</f>
        <v>4.5871559633027525E-2</v>
      </c>
      <c r="AN562" s="6">
        <f>10/$AN$3</f>
        <v>4.3103448275862072E-2</v>
      </c>
      <c r="AP562">
        <v>7</v>
      </c>
      <c r="AQ562" s="6">
        <f>AP562/AP601</f>
        <v>4.142011834319527E-2</v>
      </c>
      <c r="AR562" s="6">
        <f>7/$AR$3</f>
        <v>3.7634408602150539E-2</v>
      </c>
      <c r="AT562">
        <v>7</v>
      </c>
      <c r="AU562" s="6">
        <f>AT562/AT601</f>
        <v>5.9829059829059832E-2</v>
      </c>
      <c r="AV562" s="6">
        <f>7/$AV$3</f>
        <v>5.6451612903225805E-2</v>
      </c>
      <c r="AX562">
        <v>17</v>
      </c>
      <c r="AY562" s="6">
        <f>AX562/AX601</f>
        <v>4.3037974683544304E-2</v>
      </c>
      <c r="AZ562" s="6">
        <f>17/$AZ$3</f>
        <v>3.9534883720930232E-2</v>
      </c>
      <c r="BB562">
        <v>14</v>
      </c>
      <c r="BC562" s="6">
        <f>BB562/BB601</f>
        <v>3.4567901234567898E-2</v>
      </c>
      <c r="BD562" s="6">
        <f>14/$BD$3</f>
        <v>3.2710280373831772E-2</v>
      </c>
      <c r="BF562">
        <v>7</v>
      </c>
      <c r="BG562" s="6">
        <f>BF562/BF601</f>
        <v>3.0434782608695653E-2</v>
      </c>
      <c r="BH562" s="6">
        <f>7/$BH$3</f>
        <v>2.8925619834710745E-2</v>
      </c>
      <c r="BJ562">
        <v>13</v>
      </c>
      <c r="BK562" s="6">
        <f>BJ562/BJ601</f>
        <v>3.4852546916890083E-2</v>
      </c>
      <c r="BL562" s="6">
        <f>13/$BL$3</f>
        <v>3.2258064516129031E-2</v>
      </c>
      <c r="BN562">
        <v>15</v>
      </c>
      <c r="BO562" s="6">
        <f>BN562/BN601</f>
        <v>3.8167938931297711E-2</v>
      </c>
      <c r="BP562" s="6">
        <f>15/$BP$3</f>
        <v>3.5460992907801421E-2</v>
      </c>
      <c r="BR562">
        <v>10</v>
      </c>
      <c r="BS562" s="6">
        <f>BR562/BR601</f>
        <v>3.787878787878788E-2</v>
      </c>
      <c r="BT562" s="6">
        <f>10/$BT$3</f>
        <v>3.6496350364963501E-2</v>
      </c>
      <c r="BV562">
        <v>7</v>
      </c>
      <c r="BW562" s="6">
        <f>BV562/BV601</f>
        <v>2.4475524475524476E-2</v>
      </c>
      <c r="BX562" s="6">
        <f>7/$BX$3</f>
        <v>2.2950819672131147E-2</v>
      </c>
      <c r="BZ562">
        <v>9</v>
      </c>
      <c r="CA562" s="6">
        <f>BZ562/BZ601</f>
        <v>4.2654028436018961E-2</v>
      </c>
      <c r="CB562" s="6">
        <f>9/$CB$3</f>
        <v>4.0178571428571432E-2</v>
      </c>
      <c r="CD562">
        <v>10</v>
      </c>
      <c r="CE562" s="6">
        <f>CD562/CD601</f>
        <v>4.4843049327354258E-2</v>
      </c>
      <c r="CF562" s="6">
        <f>10/$CF$3</f>
        <v>4.1493775933609957E-2</v>
      </c>
      <c r="CH562">
        <v>12</v>
      </c>
      <c r="CI562" s="6">
        <f>CH562/CH601</f>
        <v>3.870967741935484E-2</v>
      </c>
      <c r="CJ562" s="6">
        <f>12/$CJ$3</f>
        <v>3.6363636363636362E-2</v>
      </c>
    </row>
    <row r="564" spans="1:88" x14ac:dyDescent="0.35">
      <c r="A564" s="1" t="s">
        <v>1601</v>
      </c>
      <c r="B564">
        <v>42</v>
      </c>
      <c r="C564" s="6">
        <f>B564/B601</f>
        <v>4.0776699029126215E-2</v>
      </c>
      <c r="D564" s="6">
        <f>42/$D$3</f>
        <v>3.8181818181818185E-2</v>
      </c>
      <c r="F564">
        <v>39</v>
      </c>
      <c r="G564" s="6">
        <f>F564/F601</f>
        <v>4.4930875576036866E-2</v>
      </c>
      <c r="H564" s="6">
        <f>39/$H$3</f>
        <v>4.2810098792535674E-2</v>
      </c>
      <c r="J564">
        <v>22</v>
      </c>
      <c r="K564" s="6">
        <f>J564/J601</f>
        <v>5.2380952380952382E-2</v>
      </c>
      <c r="L564" s="6">
        <f>22/$L$3</f>
        <v>5.0691244239631339E-2</v>
      </c>
      <c r="N564">
        <v>4</v>
      </c>
      <c r="O564" s="6">
        <f>N564/N601</f>
        <v>5.1948051948051951E-2</v>
      </c>
      <c r="P564" s="6">
        <f>4/$P$3</f>
        <v>4.9382716049382713E-2</v>
      </c>
      <c r="R564">
        <v>21</v>
      </c>
      <c r="S564" s="6">
        <f>R564/R601</f>
        <v>4.0076335877862593E-2</v>
      </c>
      <c r="T564" s="6">
        <f>21/$T$3</f>
        <v>3.7499999999999999E-2</v>
      </c>
      <c r="V564">
        <v>21</v>
      </c>
      <c r="W564" s="6">
        <f>V564/V601</f>
        <v>4.1501976284584984E-2</v>
      </c>
      <c r="X564" s="6">
        <f>21/$X$3</f>
        <v>3.888888888888889E-2</v>
      </c>
      <c r="Z564">
        <v>7</v>
      </c>
      <c r="AA564" s="6">
        <f>Z564/Z601</f>
        <v>6.6037735849056603E-2</v>
      </c>
      <c r="AB564" s="6">
        <f>7/$AB$3</f>
        <v>6.1946902654867256E-2</v>
      </c>
      <c r="AD564">
        <v>12</v>
      </c>
      <c r="AE564" s="6">
        <f>AD564/AD601</f>
        <v>6.3829787234042548E-2</v>
      </c>
      <c r="AF564" s="6">
        <f>12/$AF$3</f>
        <v>6.0606060606060608E-2</v>
      </c>
      <c r="AH564">
        <v>8</v>
      </c>
      <c r="AI564" s="6">
        <f>AH564/AH601</f>
        <v>3.4482758620689655E-2</v>
      </c>
      <c r="AJ564" s="6">
        <f>8/$AJ$3</f>
        <v>3.2388663967611336E-2</v>
      </c>
      <c r="AL564">
        <v>6</v>
      </c>
      <c r="AM564" s="6">
        <f>AL564/AL601</f>
        <v>2.7522935779816515E-2</v>
      </c>
      <c r="AN564" s="6">
        <f>6/$AN$3</f>
        <v>2.5862068965517241E-2</v>
      </c>
      <c r="AP564">
        <v>5</v>
      </c>
      <c r="AQ564" s="6">
        <f>AP564/AP601</f>
        <v>2.9585798816568046E-2</v>
      </c>
      <c r="AR564" s="6">
        <f>5/$AR$3</f>
        <v>2.6881720430107527E-2</v>
      </c>
      <c r="AT564">
        <v>4</v>
      </c>
      <c r="AU564" s="6">
        <f>AT564/AT601</f>
        <v>3.4188034188034191E-2</v>
      </c>
      <c r="AV564" s="6">
        <f>4/$AV$3</f>
        <v>3.2258064516129031E-2</v>
      </c>
      <c r="AX564">
        <v>20</v>
      </c>
      <c r="AY564" s="6">
        <f>AX564/AX601</f>
        <v>5.0632911392405063E-2</v>
      </c>
      <c r="AZ564" s="6">
        <f>20/$AZ$3</f>
        <v>4.6511627906976744E-2</v>
      </c>
      <c r="BB564">
        <v>13</v>
      </c>
      <c r="BC564" s="6">
        <f>BB564/BB601</f>
        <v>3.2098765432098768E-2</v>
      </c>
      <c r="BD564" s="6">
        <f>13/$BD$3</f>
        <v>3.0373831775700934E-2</v>
      </c>
      <c r="BF564">
        <v>9</v>
      </c>
      <c r="BG564" s="6">
        <f>BF564/BF601</f>
        <v>3.9130434782608699E-2</v>
      </c>
      <c r="BH564" s="6">
        <f>9/$BH$3</f>
        <v>3.71900826446281E-2</v>
      </c>
      <c r="BJ564">
        <v>19</v>
      </c>
      <c r="BK564" s="6">
        <f>BJ564/BJ601</f>
        <v>5.0938337801608578E-2</v>
      </c>
      <c r="BL564" s="6">
        <f>19/$BL$3</f>
        <v>4.7146401985111663E-2</v>
      </c>
      <c r="BN564">
        <v>17</v>
      </c>
      <c r="BO564" s="6">
        <f>BN564/BN601</f>
        <v>4.3256997455470736E-2</v>
      </c>
      <c r="BP564" s="6">
        <f>17/$BP$3</f>
        <v>4.0189125295508277E-2</v>
      </c>
      <c r="BR564">
        <v>6</v>
      </c>
      <c r="BS564" s="6">
        <f>BR564/BR601</f>
        <v>2.2727272727272728E-2</v>
      </c>
      <c r="BT564" s="6">
        <f>6/$BT$3</f>
        <v>2.1897810218978103E-2</v>
      </c>
      <c r="BV564">
        <v>8</v>
      </c>
      <c r="BW564" s="6">
        <f>BV564/BV601</f>
        <v>2.7972027972027972E-2</v>
      </c>
      <c r="BX564" s="6">
        <f>8/$BX$3</f>
        <v>2.6229508196721311E-2</v>
      </c>
      <c r="BZ564">
        <v>4</v>
      </c>
      <c r="CA564" s="6">
        <f>BZ564/BZ601</f>
        <v>1.8957345971563982E-2</v>
      </c>
      <c r="CB564" s="6">
        <f>4/$CB$3</f>
        <v>1.7857142857142856E-2</v>
      </c>
      <c r="CD564">
        <v>12</v>
      </c>
      <c r="CE564" s="6">
        <f>CD564/CD601</f>
        <v>5.3811659192825115E-2</v>
      </c>
      <c r="CF564" s="6">
        <f>12/$CF$3</f>
        <v>4.9792531120331947E-2</v>
      </c>
      <c r="CH564">
        <v>18</v>
      </c>
      <c r="CI564" s="6">
        <f>CH564/CH601</f>
        <v>5.8064516129032261E-2</v>
      </c>
      <c r="CJ564" s="6">
        <f>18/$CJ$3</f>
        <v>5.4545454545454543E-2</v>
      </c>
    </row>
    <row r="565" spans="1:88" x14ac:dyDescent="0.35">
      <c r="A565" s="1" t="s">
        <v>1602</v>
      </c>
      <c r="B565">
        <v>36</v>
      </c>
      <c r="C565" s="6">
        <f>B565/B601</f>
        <v>3.4951456310679613E-2</v>
      </c>
      <c r="D565" s="6">
        <f>36/$D$3</f>
        <v>3.272727272727273E-2</v>
      </c>
      <c r="F565">
        <v>33</v>
      </c>
      <c r="G565" s="6">
        <f>F565/F601</f>
        <v>3.8018433179723504E-2</v>
      </c>
      <c r="H565" s="6">
        <f>33/$H$3</f>
        <v>3.6223929747530186E-2</v>
      </c>
      <c r="J565">
        <v>18</v>
      </c>
      <c r="K565" s="6">
        <f>J565/J601</f>
        <v>4.2857142857142858E-2</v>
      </c>
      <c r="L565" s="6">
        <f>18/$L$3</f>
        <v>4.1474654377880185E-2</v>
      </c>
      <c r="N565">
        <v>2</v>
      </c>
      <c r="O565" s="6">
        <f>N565/N601</f>
        <v>2.5974025974025976E-2</v>
      </c>
      <c r="P565" s="6">
        <f>2/$P$3</f>
        <v>2.4691358024691357E-2</v>
      </c>
      <c r="R565">
        <v>19</v>
      </c>
      <c r="S565" s="6">
        <f>R565/R601</f>
        <v>3.6259541984732822E-2</v>
      </c>
      <c r="T565" s="6">
        <f>19/$T$3</f>
        <v>3.3928571428571426E-2</v>
      </c>
      <c r="V565">
        <v>17</v>
      </c>
      <c r="W565" s="6">
        <f>V565/V601</f>
        <v>3.3596837944664032E-2</v>
      </c>
      <c r="X565" s="6">
        <f>17/$X$3</f>
        <v>3.1481481481481478E-2</v>
      </c>
      <c r="Z565">
        <v>10</v>
      </c>
      <c r="AA565" s="6">
        <f>Z565/Z601</f>
        <v>9.4339622641509441E-2</v>
      </c>
      <c r="AB565" s="6">
        <f>10/$AB$3</f>
        <v>8.8495575221238937E-2</v>
      </c>
      <c r="AD565">
        <v>6</v>
      </c>
      <c r="AE565" s="6">
        <f>AD565/AD601</f>
        <v>3.1914893617021274E-2</v>
      </c>
      <c r="AF565" s="6">
        <f>6/$AF$3</f>
        <v>3.0303030303030304E-2</v>
      </c>
      <c r="AH565">
        <v>5</v>
      </c>
      <c r="AI565" s="6">
        <f>AH565/AH601</f>
        <v>2.1551724137931036E-2</v>
      </c>
      <c r="AJ565" s="6">
        <f>5/$AJ$3</f>
        <v>2.0242914979757085E-2</v>
      </c>
      <c r="AL565">
        <v>5</v>
      </c>
      <c r="AM565" s="6">
        <f>AL565/AL601</f>
        <v>2.2935779816513763E-2</v>
      </c>
      <c r="AN565" s="6">
        <f>5/$AN$3</f>
        <v>2.1551724137931036E-2</v>
      </c>
      <c r="AP565">
        <v>6</v>
      </c>
      <c r="AQ565" s="6">
        <f>AP565/AP601</f>
        <v>3.5502958579881658E-2</v>
      </c>
      <c r="AR565" s="6">
        <f>6/$AR$3</f>
        <v>3.2258064516129031E-2</v>
      </c>
      <c r="AT565">
        <v>4</v>
      </c>
      <c r="AU565" s="6">
        <f>AT565/AT601</f>
        <v>3.4188034188034191E-2</v>
      </c>
      <c r="AV565" s="6">
        <f>4/$AV$3</f>
        <v>3.2258064516129031E-2</v>
      </c>
      <c r="AX565">
        <v>17</v>
      </c>
      <c r="AY565" s="6">
        <f>AX565/AX601</f>
        <v>4.3037974683544304E-2</v>
      </c>
      <c r="AZ565" s="6">
        <f>17/$AZ$3</f>
        <v>3.9534883720930232E-2</v>
      </c>
      <c r="BB565">
        <v>11</v>
      </c>
      <c r="BC565" s="6">
        <f>BB565/BB601</f>
        <v>2.7160493827160494E-2</v>
      </c>
      <c r="BD565" s="6">
        <f>11/$BD$3</f>
        <v>2.5700934579439252E-2</v>
      </c>
      <c r="BF565">
        <v>8</v>
      </c>
      <c r="BG565" s="6">
        <f>BF565/BF601</f>
        <v>3.4782608695652174E-2</v>
      </c>
      <c r="BH565" s="6">
        <f>8/$BH$3</f>
        <v>3.3057851239669422E-2</v>
      </c>
      <c r="BJ565">
        <v>14</v>
      </c>
      <c r="BK565" s="6">
        <f>BJ565/BJ601</f>
        <v>3.7533512064343161E-2</v>
      </c>
      <c r="BL565" s="6">
        <f>14/$BL$3</f>
        <v>3.4739454094292806E-2</v>
      </c>
      <c r="BN565">
        <v>19</v>
      </c>
      <c r="BO565" s="6">
        <f>BN565/BN601</f>
        <v>4.8346055979643768E-2</v>
      </c>
      <c r="BP565" s="6">
        <f>19/$BP$3</f>
        <v>4.4917257683215132E-2</v>
      </c>
      <c r="BR565">
        <v>3</v>
      </c>
      <c r="BS565" s="6">
        <f>BR565/BR601</f>
        <v>1.1363636363636364E-2</v>
      </c>
      <c r="BT565" s="6">
        <f>3/$BT$3</f>
        <v>1.0948905109489052E-2</v>
      </c>
      <c r="BV565">
        <v>7</v>
      </c>
      <c r="BW565" s="6">
        <f>BV565/BV601</f>
        <v>2.4475524475524476E-2</v>
      </c>
      <c r="BX565" s="6">
        <f>7/$BX$3</f>
        <v>2.2950819672131147E-2</v>
      </c>
      <c r="BZ565">
        <v>14</v>
      </c>
      <c r="CA565" s="6">
        <f>BZ565/BZ601</f>
        <v>6.6350710900473939E-2</v>
      </c>
      <c r="CB565" s="6">
        <f>14/$CB$3</f>
        <v>6.25E-2</v>
      </c>
      <c r="CD565">
        <v>8</v>
      </c>
      <c r="CE565" s="6">
        <f>CD565/CD601</f>
        <v>3.5874439461883408E-2</v>
      </c>
      <c r="CF565" s="6">
        <f>8/$CF$3</f>
        <v>3.3195020746887967E-2</v>
      </c>
      <c r="CH565">
        <v>7</v>
      </c>
      <c r="CI565" s="6">
        <f>CH565/CH601</f>
        <v>2.2580645161290321E-2</v>
      </c>
      <c r="CJ565" s="6">
        <f>7/$CJ$3</f>
        <v>2.1212121212121213E-2</v>
      </c>
    </row>
    <row r="566" spans="1:88" x14ac:dyDescent="0.35">
      <c r="A566" s="1" t="s">
        <v>1603</v>
      </c>
      <c r="B566">
        <v>44</v>
      </c>
      <c r="C566" s="6">
        <f>B566/B601</f>
        <v>4.2718446601941747E-2</v>
      </c>
      <c r="D566" s="6">
        <f>44/$D$3</f>
        <v>0.04</v>
      </c>
      <c r="F566">
        <v>40</v>
      </c>
      <c r="G566" s="6">
        <f>F566/F601</f>
        <v>4.6082949308755762E-2</v>
      </c>
      <c r="H566" s="6">
        <f>40/$H$3</f>
        <v>4.3907793633369926E-2</v>
      </c>
      <c r="J566">
        <v>16</v>
      </c>
      <c r="K566" s="6">
        <f>J566/J601</f>
        <v>3.8095238095238099E-2</v>
      </c>
      <c r="L566" s="6">
        <f>16/$L$3</f>
        <v>3.6866359447004608E-2</v>
      </c>
      <c r="N566">
        <v>4</v>
      </c>
      <c r="O566" s="6">
        <f>N566/N601</f>
        <v>5.1948051948051951E-2</v>
      </c>
      <c r="P566" s="6">
        <f>4/$P$3</f>
        <v>4.9382716049382713E-2</v>
      </c>
      <c r="R566">
        <v>21</v>
      </c>
      <c r="S566" s="6">
        <f>R566/R601</f>
        <v>4.0076335877862593E-2</v>
      </c>
      <c r="T566" s="6">
        <f>21/$T$3</f>
        <v>3.7499999999999999E-2</v>
      </c>
      <c r="V566">
        <v>23</v>
      </c>
      <c r="W566" s="6">
        <f>V566/V601</f>
        <v>4.5454545454545456E-2</v>
      </c>
      <c r="X566" s="6">
        <f>23/$X$3</f>
        <v>4.2592592592592592E-2</v>
      </c>
      <c r="Z566">
        <v>8</v>
      </c>
      <c r="AA566" s="6">
        <f>Z566/Z601</f>
        <v>7.5471698113207544E-2</v>
      </c>
      <c r="AB566" s="6">
        <f>8/$AB$3</f>
        <v>7.0796460176991149E-2</v>
      </c>
      <c r="AD566">
        <v>8</v>
      </c>
      <c r="AE566" s="6">
        <f>AD566/AD601</f>
        <v>4.2553191489361701E-2</v>
      </c>
      <c r="AF566" s="6">
        <f>8/$AF$3</f>
        <v>4.0404040404040407E-2</v>
      </c>
      <c r="AH566">
        <v>5</v>
      </c>
      <c r="AI566" s="6">
        <f>AH566/AH601</f>
        <v>2.1551724137931036E-2</v>
      </c>
      <c r="AJ566" s="6">
        <f>5/$AJ$3</f>
        <v>2.0242914979757085E-2</v>
      </c>
      <c r="AL566">
        <v>13</v>
      </c>
      <c r="AM566" s="6">
        <f>AL566/AL601</f>
        <v>5.9633027522935783E-2</v>
      </c>
      <c r="AN566" s="6">
        <f>13/$AN$3</f>
        <v>5.6034482758620691E-2</v>
      </c>
      <c r="AP566">
        <v>7</v>
      </c>
      <c r="AQ566" s="6">
        <f>AP566/AP601</f>
        <v>4.142011834319527E-2</v>
      </c>
      <c r="AR566" s="6">
        <f>7/$AR$3</f>
        <v>3.7634408602150539E-2</v>
      </c>
      <c r="AT566">
        <v>3</v>
      </c>
      <c r="AU566" s="6">
        <f>AT566/AT601</f>
        <v>2.564102564102564E-2</v>
      </c>
      <c r="AV566" s="6">
        <f>3/$AV$3</f>
        <v>2.4193548387096774E-2</v>
      </c>
      <c r="AX566">
        <v>19</v>
      </c>
      <c r="AY566" s="6">
        <f>AX566/AX601</f>
        <v>4.810126582278481E-2</v>
      </c>
      <c r="AZ566" s="6">
        <f>19/$AZ$3</f>
        <v>4.4186046511627906E-2</v>
      </c>
      <c r="BB566">
        <v>12</v>
      </c>
      <c r="BC566" s="6">
        <f>BB566/BB601</f>
        <v>2.9629629629629631E-2</v>
      </c>
      <c r="BD566" s="6">
        <f>12/$BD$3</f>
        <v>2.8037383177570093E-2</v>
      </c>
      <c r="BF566">
        <v>13</v>
      </c>
      <c r="BG566" s="6">
        <f>BF566/BF601</f>
        <v>5.6521739130434782E-2</v>
      </c>
      <c r="BH566" s="6">
        <f>13/$BH$3</f>
        <v>5.3719008264462811E-2</v>
      </c>
      <c r="BJ566">
        <v>16</v>
      </c>
      <c r="BK566" s="6">
        <f>BJ566/BJ601</f>
        <v>4.2895442359249331E-2</v>
      </c>
      <c r="BL566" s="6">
        <f>16/$BL$3</f>
        <v>3.9702233250620347E-2</v>
      </c>
      <c r="BN566">
        <v>19</v>
      </c>
      <c r="BO566" s="6">
        <f>BN566/BN601</f>
        <v>4.8346055979643768E-2</v>
      </c>
      <c r="BP566" s="6">
        <f>19/$BP$3</f>
        <v>4.4917257683215132E-2</v>
      </c>
      <c r="BR566">
        <v>9</v>
      </c>
      <c r="BS566" s="6">
        <f>BR566/BR601</f>
        <v>3.4090909090909088E-2</v>
      </c>
      <c r="BT566" s="6">
        <f>9/$BT$3</f>
        <v>3.2846715328467155E-2</v>
      </c>
      <c r="BV566">
        <v>9</v>
      </c>
      <c r="BW566" s="6">
        <f>BV566/BV601</f>
        <v>3.1468531468531472E-2</v>
      </c>
      <c r="BX566" s="6">
        <f>9/$BX$3</f>
        <v>2.9508196721311476E-2</v>
      </c>
      <c r="BZ566">
        <v>6</v>
      </c>
      <c r="CA566" s="6">
        <f>BZ566/BZ601</f>
        <v>2.843601895734597E-2</v>
      </c>
      <c r="CB566" s="6">
        <f>6/$CB$3</f>
        <v>2.6785714285714284E-2</v>
      </c>
      <c r="CD566">
        <v>14</v>
      </c>
      <c r="CE566" s="6">
        <f>CD566/CD601</f>
        <v>6.2780269058295965E-2</v>
      </c>
      <c r="CF566" s="6">
        <f>14/$CF$3</f>
        <v>5.8091286307053944E-2</v>
      </c>
      <c r="CH566">
        <v>15</v>
      </c>
      <c r="CI566" s="6">
        <f>CH566/CH601</f>
        <v>4.8387096774193547E-2</v>
      </c>
      <c r="CJ566" s="6">
        <f>15/$CJ$3</f>
        <v>4.5454545454545456E-2</v>
      </c>
    </row>
    <row r="567" spans="1:88" x14ac:dyDescent="0.35">
      <c r="A567" s="1" t="s">
        <v>1604</v>
      </c>
      <c r="B567">
        <v>30</v>
      </c>
      <c r="C567" s="6">
        <f>B567/B601</f>
        <v>2.9126213592233011E-2</v>
      </c>
      <c r="D567" s="6">
        <f>30/$D$3</f>
        <v>2.7272727272727271E-2</v>
      </c>
      <c r="F567">
        <v>30</v>
      </c>
      <c r="G567" s="6">
        <f>F567/F601</f>
        <v>3.4562211981566823E-2</v>
      </c>
      <c r="H567" s="6">
        <f>30/$H$3</f>
        <v>3.2930845225027441E-2</v>
      </c>
      <c r="J567">
        <v>13</v>
      </c>
      <c r="K567" s="6">
        <f>J567/J601</f>
        <v>3.0952380952380953E-2</v>
      </c>
      <c r="L567" s="6">
        <f>13/$L$3</f>
        <v>2.9953917050691243E-2</v>
      </c>
      <c r="N567">
        <v>4</v>
      </c>
      <c r="O567" s="6">
        <f>N567/N601</f>
        <v>5.1948051948051951E-2</v>
      </c>
      <c r="P567" s="6">
        <f>4/$P$3</f>
        <v>4.9382716049382713E-2</v>
      </c>
      <c r="R567">
        <v>14</v>
      </c>
      <c r="S567" s="6">
        <f>R567/R601</f>
        <v>2.6717557251908396E-2</v>
      </c>
      <c r="T567" s="6">
        <f>14/$T$3</f>
        <v>2.5000000000000001E-2</v>
      </c>
      <c r="V567">
        <v>16</v>
      </c>
      <c r="W567" s="6">
        <f>V567/V601</f>
        <v>3.1620553359683792E-2</v>
      </c>
      <c r="X567" s="6">
        <f>16/$X$3</f>
        <v>2.9629629629629631E-2</v>
      </c>
      <c r="Z567">
        <v>4</v>
      </c>
      <c r="AA567" s="6">
        <f>Z567/Z601</f>
        <v>3.7735849056603772E-2</v>
      </c>
      <c r="AB567" s="6">
        <f>4/$AB$3</f>
        <v>3.5398230088495575E-2</v>
      </c>
      <c r="AD567">
        <v>6</v>
      </c>
      <c r="AE567" s="6">
        <f>AD567/AD601</f>
        <v>3.1914893617021274E-2</v>
      </c>
      <c r="AF567" s="6">
        <f>6/$AF$3</f>
        <v>3.0303030303030304E-2</v>
      </c>
      <c r="AH567">
        <v>3</v>
      </c>
      <c r="AI567" s="6">
        <f>AH567/AH601</f>
        <v>1.2931034482758621E-2</v>
      </c>
      <c r="AJ567" s="6">
        <f>3/$AJ$3</f>
        <v>1.2145748987854251E-2</v>
      </c>
      <c r="AL567">
        <v>4</v>
      </c>
      <c r="AM567" s="6">
        <f>AL567/AL601</f>
        <v>1.834862385321101E-2</v>
      </c>
      <c r="AN567" s="6">
        <f>4/$AN$3</f>
        <v>1.7241379310344827E-2</v>
      </c>
      <c r="AP567">
        <v>6</v>
      </c>
      <c r="AQ567" s="6">
        <f>AP567/AP601</f>
        <v>3.5502958579881658E-2</v>
      </c>
      <c r="AR567" s="6">
        <f>6/$AR$3</f>
        <v>3.2258064516129031E-2</v>
      </c>
      <c r="AT567">
        <v>7</v>
      </c>
      <c r="AU567" s="6">
        <f>AT567/AT601</f>
        <v>5.9829059829059832E-2</v>
      </c>
      <c r="AV567" s="6">
        <f>7/$AV$3</f>
        <v>5.6451612903225805E-2</v>
      </c>
      <c r="AX567">
        <v>12</v>
      </c>
      <c r="AY567" s="6">
        <f>AX567/AX601</f>
        <v>3.0379746835443037E-2</v>
      </c>
      <c r="AZ567" s="6">
        <f>12/$AZ$3</f>
        <v>2.7906976744186046E-2</v>
      </c>
      <c r="BB567">
        <v>12</v>
      </c>
      <c r="BC567" s="6">
        <f>BB567/BB601</f>
        <v>2.9629629629629631E-2</v>
      </c>
      <c r="BD567" s="6">
        <f>12/$BD$3</f>
        <v>2.8037383177570093E-2</v>
      </c>
      <c r="BF567">
        <v>6</v>
      </c>
      <c r="BG567" s="6">
        <f>BF567/BF601</f>
        <v>2.6086956521739129E-2</v>
      </c>
      <c r="BH567" s="6">
        <f>6/$BH$3</f>
        <v>2.4793388429752067E-2</v>
      </c>
      <c r="BJ567">
        <v>6</v>
      </c>
      <c r="BK567" s="6">
        <f>BJ567/BJ601</f>
        <v>1.6085790884718499E-2</v>
      </c>
      <c r="BL567" s="6">
        <f>6/$BL$3</f>
        <v>1.488833746898263E-2</v>
      </c>
      <c r="BN567">
        <v>19</v>
      </c>
      <c r="BO567" s="6">
        <f>BN567/BN601</f>
        <v>4.8346055979643768E-2</v>
      </c>
      <c r="BP567" s="6">
        <f>19/$BP$3</f>
        <v>4.4917257683215132E-2</v>
      </c>
      <c r="BR567">
        <v>5</v>
      </c>
      <c r="BS567" s="6">
        <f>BR567/BR601</f>
        <v>1.893939393939394E-2</v>
      </c>
      <c r="BT567" s="6">
        <f>5/$BT$3</f>
        <v>1.824817518248175E-2</v>
      </c>
      <c r="BV567">
        <v>9</v>
      </c>
      <c r="BW567" s="6">
        <f>BV567/BV601</f>
        <v>3.1468531468531472E-2</v>
      </c>
      <c r="BX567" s="6">
        <f>9/$BX$3</f>
        <v>2.9508196721311476E-2</v>
      </c>
      <c r="BZ567">
        <v>6</v>
      </c>
      <c r="CA567" s="6">
        <f>BZ567/BZ601</f>
        <v>2.843601895734597E-2</v>
      </c>
      <c r="CB567" s="6">
        <f>6/$CB$3</f>
        <v>2.6785714285714284E-2</v>
      </c>
      <c r="CD567">
        <v>8</v>
      </c>
      <c r="CE567" s="6">
        <f>CD567/CD601</f>
        <v>3.5874439461883408E-2</v>
      </c>
      <c r="CF567" s="6">
        <f>8/$CF$3</f>
        <v>3.3195020746887967E-2</v>
      </c>
      <c r="CH567">
        <v>7</v>
      </c>
      <c r="CI567" s="6">
        <f>CH567/CH601</f>
        <v>2.2580645161290321E-2</v>
      </c>
      <c r="CJ567" s="6">
        <f>7/$CJ$3</f>
        <v>2.1212121212121213E-2</v>
      </c>
    </row>
    <row r="568" spans="1:88" x14ac:dyDescent="0.35">
      <c r="A568" s="1" t="s">
        <v>1605</v>
      </c>
      <c r="B568">
        <v>48</v>
      </c>
      <c r="C568" s="6">
        <f>B568/B601</f>
        <v>4.6601941747572817E-2</v>
      </c>
      <c r="D568" s="6">
        <f>48/$D$3</f>
        <v>4.363636363636364E-2</v>
      </c>
      <c r="F568">
        <v>47</v>
      </c>
      <c r="G568" s="6">
        <f>F568/F601</f>
        <v>5.414746543778802E-2</v>
      </c>
      <c r="H568" s="6">
        <f>47/$H$3</f>
        <v>5.159165751920966E-2</v>
      </c>
      <c r="J568">
        <v>18</v>
      </c>
      <c r="K568" s="6">
        <f>J568/J601</f>
        <v>4.2857142857142858E-2</v>
      </c>
      <c r="L568" s="6">
        <f>18/$L$3</f>
        <v>4.1474654377880185E-2</v>
      </c>
      <c r="N568">
        <v>4</v>
      </c>
      <c r="O568" s="6">
        <f>N568/N601</f>
        <v>5.1948051948051951E-2</v>
      </c>
      <c r="P568" s="6">
        <f>4/$P$3</f>
        <v>4.9382716049382713E-2</v>
      </c>
      <c r="R568">
        <v>25</v>
      </c>
      <c r="S568" s="6">
        <f>R568/R601</f>
        <v>4.7709923664122141E-2</v>
      </c>
      <c r="T568" s="6">
        <f>25/$T$3</f>
        <v>4.4642857142857144E-2</v>
      </c>
      <c r="V568">
        <v>23</v>
      </c>
      <c r="W568" s="6">
        <f>V568/V601</f>
        <v>4.5454545454545456E-2</v>
      </c>
      <c r="X568" s="6">
        <f>23/$X$3</f>
        <v>4.2592592592592592E-2</v>
      </c>
      <c r="Z568">
        <v>6</v>
      </c>
      <c r="AA568" s="6">
        <f>Z568/Z601</f>
        <v>5.6603773584905662E-2</v>
      </c>
      <c r="AB568" s="6">
        <f>6/$AB$3</f>
        <v>5.3097345132743362E-2</v>
      </c>
      <c r="AD568">
        <v>11</v>
      </c>
      <c r="AE568" s="6">
        <f>AD568/AD601</f>
        <v>5.8510638297872342E-2</v>
      </c>
      <c r="AF568" s="6">
        <f>11/$AF$3</f>
        <v>5.5555555555555552E-2</v>
      </c>
      <c r="AH568">
        <v>10</v>
      </c>
      <c r="AI568" s="6">
        <f>AH568/AH601</f>
        <v>4.3103448275862072E-2</v>
      </c>
      <c r="AJ568" s="6">
        <f>10/$AJ$3</f>
        <v>4.048582995951417E-2</v>
      </c>
      <c r="AL568">
        <v>8</v>
      </c>
      <c r="AM568" s="6">
        <f>AL568/AL601</f>
        <v>3.669724770642202E-2</v>
      </c>
      <c r="AN568" s="6">
        <f>8/$AN$3</f>
        <v>3.4482758620689655E-2</v>
      </c>
      <c r="AP568">
        <v>9</v>
      </c>
      <c r="AQ568" s="6">
        <f>AP568/AP601</f>
        <v>5.3254437869822487E-2</v>
      </c>
      <c r="AR568" s="6">
        <f>9/$AR$3</f>
        <v>4.8387096774193547E-2</v>
      </c>
      <c r="AT568">
        <v>4</v>
      </c>
      <c r="AU568" s="6">
        <f>AT568/AT601</f>
        <v>3.4188034188034191E-2</v>
      </c>
      <c r="AV568" s="6">
        <f>4/$AV$3</f>
        <v>3.2258064516129031E-2</v>
      </c>
      <c r="AX568">
        <v>18</v>
      </c>
      <c r="AY568" s="6">
        <f>AX568/AX601</f>
        <v>4.5569620253164557E-2</v>
      </c>
      <c r="AZ568" s="6">
        <f>18/$AZ$3</f>
        <v>4.1860465116279069E-2</v>
      </c>
      <c r="BB568">
        <v>17</v>
      </c>
      <c r="BC568" s="6">
        <f>BB568/BB601</f>
        <v>4.1975308641975309E-2</v>
      </c>
      <c r="BD568" s="6">
        <f>17/$BD$3</f>
        <v>3.9719626168224297E-2</v>
      </c>
      <c r="BF568">
        <v>13</v>
      </c>
      <c r="BG568" s="6">
        <f>BF568/BF601</f>
        <v>5.6521739130434782E-2</v>
      </c>
      <c r="BH568" s="6">
        <f>13/$BH$3</f>
        <v>5.3719008264462811E-2</v>
      </c>
      <c r="BJ568">
        <v>20</v>
      </c>
      <c r="BK568" s="6">
        <f>BJ568/BJ601</f>
        <v>5.3619302949061663E-2</v>
      </c>
      <c r="BL568" s="6">
        <f>20/$BL$3</f>
        <v>4.9627791563275438E-2</v>
      </c>
      <c r="BN568">
        <v>19</v>
      </c>
      <c r="BO568" s="6">
        <f>BN568/BN601</f>
        <v>4.8346055979643768E-2</v>
      </c>
      <c r="BP568" s="6">
        <f>19/$BP$3</f>
        <v>4.4917257683215132E-2</v>
      </c>
      <c r="BR568">
        <v>9</v>
      </c>
      <c r="BS568" s="6">
        <f>BR568/BR601</f>
        <v>3.4090909090909088E-2</v>
      </c>
      <c r="BT568" s="6">
        <f>9/$BT$3</f>
        <v>3.2846715328467155E-2</v>
      </c>
      <c r="BV568">
        <v>14</v>
      </c>
      <c r="BW568" s="6">
        <f>BV568/BV601</f>
        <v>4.8951048951048952E-2</v>
      </c>
      <c r="BX568" s="6">
        <f>14/$BX$3</f>
        <v>4.5901639344262293E-2</v>
      </c>
      <c r="BZ568">
        <v>7</v>
      </c>
      <c r="CA568" s="6">
        <f>BZ568/BZ601</f>
        <v>3.3175355450236969E-2</v>
      </c>
      <c r="CB568" s="6">
        <f>7/$CB$3</f>
        <v>3.125E-2</v>
      </c>
      <c r="CD568">
        <v>13</v>
      </c>
      <c r="CE568" s="6">
        <f>CD568/CD601</f>
        <v>5.829596412556054E-2</v>
      </c>
      <c r="CF568" s="6">
        <f>13/$CF$3</f>
        <v>5.3941908713692949E-2</v>
      </c>
      <c r="CH568">
        <v>14</v>
      </c>
      <c r="CI568" s="6">
        <f>CH568/CH601</f>
        <v>4.5161290322580643E-2</v>
      </c>
      <c r="CJ568" s="6">
        <f>14/$CJ$3</f>
        <v>4.2424242424242427E-2</v>
      </c>
    </row>
    <row r="569" spans="1:88" x14ac:dyDescent="0.35">
      <c r="A569" s="1" t="s">
        <v>1606</v>
      </c>
      <c r="B569">
        <v>30</v>
      </c>
      <c r="C569" s="6">
        <f>B569/B601</f>
        <v>2.9126213592233011E-2</v>
      </c>
      <c r="D569" s="6">
        <f>30/$D$3</f>
        <v>2.7272727272727271E-2</v>
      </c>
      <c r="F569">
        <v>29</v>
      </c>
      <c r="G569" s="6">
        <f>F569/F601</f>
        <v>3.3410138248847927E-2</v>
      </c>
      <c r="H569" s="6">
        <f>29/$H$3</f>
        <v>3.1833150384193196E-2</v>
      </c>
      <c r="J569">
        <v>11</v>
      </c>
      <c r="K569" s="6">
        <f>J569/J601</f>
        <v>2.6190476190476191E-2</v>
      </c>
      <c r="L569" s="6">
        <f>11/$L$3</f>
        <v>2.5345622119815669E-2</v>
      </c>
      <c r="N569">
        <v>1</v>
      </c>
      <c r="O569" s="6">
        <f>N569/N601</f>
        <v>1.2987012987012988E-2</v>
      </c>
      <c r="P569" s="6">
        <f>1/$P$3</f>
        <v>1.2345679012345678E-2</v>
      </c>
      <c r="R569">
        <v>11</v>
      </c>
      <c r="S569" s="6">
        <f>R569/R601</f>
        <v>2.0992366412213741E-2</v>
      </c>
      <c r="T569" s="6">
        <f>11/$T$3</f>
        <v>1.9642857142857142E-2</v>
      </c>
      <c r="V569">
        <v>19</v>
      </c>
      <c r="W569" s="6">
        <f>V569/V601</f>
        <v>3.7549407114624504E-2</v>
      </c>
      <c r="X569" s="6">
        <f>19/$X$3</f>
        <v>3.5185185185185187E-2</v>
      </c>
      <c r="Z569">
        <v>2</v>
      </c>
      <c r="AA569" s="6">
        <f>Z569/Z601</f>
        <v>1.8867924528301886E-2</v>
      </c>
      <c r="AB569" s="6">
        <f>2/$AB$3</f>
        <v>1.7699115044247787E-2</v>
      </c>
      <c r="AD569">
        <v>6</v>
      </c>
      <c r="AE569" s="6">
        <f>AD569/AD601</f>
        <v>3.1914893617021274E-2</v>
      </c>
      <c r="AF569" s="6">
        <f>6/$AF$3</f>
        <v>3.0303030303030304E-2</v>
      </c>
      <c r="AH569">
        <v>5</v>
      </c>
      <c r="AI569" s="6">
        <f>AH569/AH601</f>
        <v>2.1551724137931036E-2</v>
      </c>
      <c r="AJ569" s="6">
        <f>5/$AJ$3</f>
        <v>2.0242914979757085E-2</v>
      </c>
      <c r="AL569">
        <v>7</v>
      </c>
      <c r="AM569" s="6">
        <f>AL569/AL601</f>
        <v>3.2110091743119268E-2</v>
      </c>
      <c r="AN569" s="6">
        <f>7/$AN$3</f>
        <v>3.017241379310345E-2</v>
      </c>
      <c r="AP569">
        <v>7</v>
      </c>
      <c r="AQ569" s="6">
        <f>AP569/AP601</f>
        <v>4.142011834319527E-2</v>
      </c>
      <c r="AR569" s="6">
        <f>7/$AR$3</f>
        <v>3.7634408602150539E-2</v>
      </c>
      <c r="AT569">
        <v>3</v>
      </c>
      <c r="AU569" s="6">
        <f>AT569/AT601</f>
        <v>2.564102564102564E-2</v>
      </c>
      <c r="AV569" s="6">
        <f>3/$AV$3</f>
        <v>2.4193548387096774E-2</v>
      </c>
      <c r="AX569">
        <v>13</v>
      </c>
      <c r="AY569" s="6">
        <f>AX569/AX601</f>
        <v>3.2911392405063293E-2</v>
      </c>
      <c r="AZ569" s="6">
        <f>13/$AZ$3</f>
        <v>3.0232558139534883E-2</v>
      </c>
      <c r="BB569">
        <v>11</v>
      </c>
      <c r="BC569" s="6">
        <f>BB569/BB601</f>
        <v>2.7160493827160494E-2</v>
      </c>
      <c r="BD569" s="6">
        <f>11/$BD$3</f>
        <v>2.5700934579439252E-2</v>
      </c>
      <c r="BF569">
        <v>6</v>
      </c>
      <c r="BG569" s="6">
        <f>BF569/BF601</f>
        <v>2.6086956521739129E-2</v>
      </c>
      <c r="BH569" s="6">
        <f>6/$BH$3</f>
        <v>2.4793388429752067E-2</v>
      </c>
      <c r="BJ569">
        <v>15</v>
      </c>
      <c r="BK569" s="6">
        <f>BJ569/BJ601</f>
        <v>4.0214477211796246E-2</v>
      </c>
      <c r="BL569" s="6">
        <f>15/$BL$3</f>
        <v>3.7220843672456573E-2</v>
      </c>
      <c r="BN569">
        <v>11</v>
      </c>
      <c r="BO569" s="6">
        <f>BN569/BN601</f>
        <v>2.7989821882951654E-2</v>
      </c>
      <c r="BP569" s="6">
        <f>11/$BP$3</f>
        <v>2.6004728132387706E-2</v>
      </c>
      <c r="BR569">
        <v>4</v>
      </c>
      <c r="BS569" s="6">
        <f>BR569/BR601</f>
        <v>1.5151515151515152E-2</v>
      </c>
      <c r="BT569" s="6">
        <f>4/$BT$3</f>
        <v>1.4598540145985401E-2</v>
      </c>
      <c r="BV569">
        <v>8</v>
      </c>
      <c r="BW569" s="6">
        <f>BV569/BV601</f>
        <v>2.7972027972027972E-2</v>
      </c>
      <c r="BX569" s="6">
        <f>8/$BX$3</f>
        <v>2.6229508196721311E-2</v>
      </c>
      <c r="BZ569">
        <v>6</v>
      </c>
      <c r="CA569" s="6">
        <f>BZ569/BZ601</f>
        <v>2.843601895734597E-2</v>
      </c>
      <c r="CB569" s="6">
        <f>6/$CB$3</f>
        <v>2.6785714285714284E-2</v>
      </c>
      <c r="CD569">
        <v>7</v>
      </c>
      <c r="CE569" s="6">
        <f>CD569/CD601</f>
        <v>3.1390134529147982E-2</v>
      </c>
      <c r="CF569" s="6">
        <f>7/$CF$3</f>
        <v>2.9045643153526972E-2</v>
      </c>
      <c r="CH569">
        <v>9</v>
      </c>
      <c r="CI569" s="6">
        <f>CH569/CH601</f>
        <v>2.903225806451613E-2</v>
      </c>
      <c r="CJ569" s="6">
        <f>9/$CJ$3</f>
        <v>2.7272727272727271E-2</v>
      </c>
    </row>
    <row r="570" spans="1:88" x14ac:dyDescent="0.35">
      <c r="A570" s="1" t="s">
        <v>1607</v>
      </c>
      <c r="B570">
        <v>79</v>
      </c>
      <c r="C570" s="6">
        <f>B570/B601</f>
        <v>7.6699029126213597E-2</v>
      </c>
      <c r="D570" s="6">
        <f>79/$D$3</f>
        <v>7.1818181818181823E-2</v>
      </c>
      <c r="F570">
        <v>72</v>
      </c>
      <c r="G570" s="6">
        <f>F570/F601</f>
        <v>8.294930875576037E-2</v>
      </c>
      <c r="H570" s="6">
        <f>72/$H$3</f>
        <v>7.9034028540065859E-2</v>
      </c>
      <c r="J570">
        <v>25</v>
      </c>
      <c r="K570" s="6">
        <f>J570/J601</f>
        <v>5.9523809523809521E-2</v>
      </c>
      <c r="L570" s="6">
        <f>25/$L$3</f>
        <v>5.7603686635944701E-2</v>
      </c>
      <c r="N570">
        <v>6</v>
      </c>
      <c r="O570" s="6">
        <f>N570/N601</f>
        <v>7.792207792207792E-2</v>
      </c>
      <c r="P570" s="6">
        <f>6/$P$3</f>
        <v>7.407407407407407E-2</v>
      </c>
      <c r="R570">
        <v>41</v>
      </c>
      <c r="S570" s="6">
        <f>R570/R601</f>
        <v>7.8244274809160311E-2</v>
      </c>
      <c r="T570" s="6">
        <f>41/$T$3</f>
        <v>7.3214285714285718E-2</v>
      </c>
      <c r="V570">
        <v>38</v>
      </c>
      <c r="W570" s="6">
        <f>V570/V601</f>
        <v>7.5098814229249009E-2</v>
      </c>
      <c r="X570" s="6">
        <f>38/$X$3</f>
        <v>7.0370370370370375E-2</v>
      </c>
      <c r="Z570">
        <v>9</v>
      </c>
      <c r="AA570" s="6">
        <f>Z570/Z601</f>
        <v>8.4905660377358486E-2</v>
      </c>
      <c r="AB570" s="6">
        <f>9/$AB$3</f>
        <v>7.9646017699115043E-2</v>
      </c>
      <c r="AD570">
        <v>12</v>
      </c>
      <c r="AE570" s="6">
        <f>AD570/AD601</f>
        <v>6.3829787234042548E-2</v>
      </c>
      <c r="AF570" s="6">
        <f>12/$AF$3</f>
        <v>6.0606060606060608E-2</v>
      </c>
      <c r="AH570">
        <v>6</v>
      </c>
      <c r="AI570" s="6">
        <f>AH570/AH601</f>
        <v>2.5862068965517241E-2</v>
      </c>
      <c r="AJ570" s="6">
        <f>6/$AJ$3</f>
        <v>2.4291497975708502E-2</v>
      </c>
      <c r="AL570">
        <v>20</v>
      </c>
      <c r="AM570" s="6">
        <f>AL570/AL601</f>
        <v>9.1743119266055051E-2</v>
      </c>
      <c r="AN570" s="6">
        <f>20/$AN$3</f>
        <v>8.6206896551724144E-2</v>
      </c>
      <c r="AO570" s="7"/>
      <c r="AP570">
        <v>16</v>
      </c>
      <c r="AQ570" s="6">
        <f>AP570/AP601</f>
        <v>9.4674556213017749E-2</v>
      </c>
      <c r="AR570" s="6">
        <f>16/$AR$3</f>
        <v>8.6021505376344093E-2</v>
      </c>
      <c r="AT570">
        <v>16</v>
      </c>
      <c r="AU570" s="6">
        <f>AT570/AT601</f>
        <v>0.13675213675213677</v>
      </c>
      <c r="AV570" s="9">
        <f>16/$AV$3</f>
        <v>0.12903225806451613</v>
      </c>
      <c r="AW570" s="7"/>
      <c r="AX570">
        <v>37</v>
      </c>
      <c r="AY570" s="6">
        <f>AX570/AX601</f>
        <v>9.3670886075949367E-2</v>
      </c>
      <c r="AZ570" s="6">
        <f>37/$AZ$3</f>
        <v>8.6046511627906982E-2</v>
      </c>
      <c r="BB570">
        <v>29</v>
      </c>
      <c r="BC570" s="6">
        <f>BB570/BB601</f>
        <v>7.160493827160494E-2</v>
      </c>
      <c r="BD570" s="6">
        <f>29/$BD$3</f>
        <v>6.7757009345794386E-2</v>
      </c>
      <c r="BF570">
        <v>13</v>
      </c>
      <c r="BG570" s="6">
        <f>BF570/BF601</f>
        <v>5.6521739130434782E-2</v>
      </c>
      <c r="BH570" s="6">
        <f>13/$BH$3</f>
        <v>5.3719008264462811E-2</v>
      </c>
      <c r="BJ570">
        <v>23</v>
      </c>
      <c r="BK570" s="6">
        <f>BJ570/BJ601</f>
        <v>6.1662198391420911E-2</v>
      </c>
      <c r="BL570" s="6">
        <f>23/$BL$3</f>
        <v>5.7071960297766747E-2</v>
      </c>
      <c r="BN570">
        <v>40</v>
      </c>
      <c r="BO570" s="6">
        <f>BN570/BN601</f>
        <v>0.10178117048346055</v>
      </c>
      <c r="BP570" s="6">
        <f>40/$BP$3</f>
        <v>9.4562647754137114E-2</v>
      </c>
      <c r="BR570">
        <v>16</v>
      </c>
      <c r="BS570" s="6">
        <f>BR570/BR601</f>
        <v>6.0606060606060608E-2</v>
      </c>
      <c r="BT570" s="6">
        <f>16/$BT$3</f>
        <v>5.8394160583941604E-2</v>
      </c>
      <c r="BV570">
        <v>22</v>
      </c>
      <c r="BW570" s="6">
        <f>BV570/BV601</f>
        <v>7.6923076923076927E-2</v>
      </c>
      <c r="BX570" s="6">
        <f>22/$BX$3</f>
        <v>7.2131147540983612E-2</v>
      </c>
      <c r="BZ570">
        <v>15</v>
      </c>
      <c r="CA570" s="6">
        <f>BZ570/BZ601</f>
        <v>7.1090047393364927E-2</v>
      </c>
      <c r="CB570" s="6">
        <f>15/$CB$3</f>
        <v>6.6964285714285712E-2</v>
      </c>
      <c r="CD570">
        <v>20</v>
      </c>
      <c r="CE570" s="6">
        <f>CD570/CD601</f>
        <v>8.9686098654708515E-2</v>
      </c>
      <c r="CF570" s="6">
        <f>20/$CF$3</f>
        <v>8.2987551867219914E-2</v>
      </c>
      <c r="CH570">
        <v>22</v>
      </c>
      <c r="CI570" s="6">
        <f>CH570/CH601</f>
        <v>7.0967741935483872E-2</v>
      </c>
      <c r="CJ570" s="6">
        <f>22/$CJ$3</f>
        <v>6.6666666666666666E-2</v>
      </c>
    </row>
    <row r="571" spans="1:88" x14ac:dyDescent="0.35">
      <c r="A571" s="1" t="s">
        <v>1608</v>
      </c>
      <c r="B571">
        <v>30</v>
      </c>
      <c r="C571" s="6">
        <f>B571/B601</f>
        <v>2.9126213592233011E-2</v>
      </c>
      <c r="D571" s="6">
        <f>30/$D$3</f>
        <v>2.7272727272727271E-2</v>
      </c>
      <c r="F571">
        <v>27</v>
      </c>
      <c r="G571" s="6">
        <f>F571/F601</f>
        <v>3.1105990783410139E-2</v>
      </c>
      <c r="H571" s="6">
        <f>27/$H$3</f>
        <v>2.9637760702524697E-2</v>
      </c>
      <c r="J571">
        <v>12</v>
      </c>
      <c r="K571" s="6">
        <f>J571/J601</f>
        <v>2.8571428571428571E-2</v>
      </c>
      <c r="L571" s="6">
        <f>12/$L$3</f>
        <v>2.7649769585253458E-2</v>
      </c>
      <c r="N571">
        <v>4</v>
      </c>
      <c r="O571" s="6">
        <f>N571/N601</f>
        <v>5.1948051948051951E-2</v>
      </c>
      <c r="P571" s="6">
        <f>4/$P$3</f>
        <v>4.9382716049382713E-2</v>
      </c>
      <c r="R571">
        <v>19</v>
      </c>
      <c r="S571" s="6">
        <f>R571/R601</f>
        <v>3.6259541984732822E-2</v>
      </c>
      <c r="T571" s="6">
        <f>19/$T$3</f>
        <v>3.3928571428571426E-2</v>
      </c>
      <c r="V571">
        <v>11</v>
      </c>
      <c r="W571" s="6">
        <f>V571/V601</f>
        <v>2.1739130434782608E-2</v>
      </c>
      <c r="X571" s="6">
        <f>11/$X$3</f>
        <v>2.0370370370370372E-2</v>
      </c>
      <c r="Z571">
        <v>4</v>
      </c>
      <c r="AA571" s="6">
        <f>Z571/Z601</f>
        <v>3.7735849056603772E-2</v>
      </c>
      <c r="AB571" s="6">
        <f>4/$AB$3</f>
        <v>3.5398230088495575E-2</v>
      </c>
      <c r="AD571">
        <v>12</v>
      </c>
      <c r="AE571" s="6">
        <f>AD571/AD601</f>
        <v>6.3829787234042548E-2</v>
      </c>
      <c r="AF571" s="6">
        <f>12/$AF$3</f>
        <v>6.0606060606060608E-2</v>
      </c>
      <c r="AH571">
        <v>4</v>
      </c>
      <c r="AI571" s="6">
        <f>AH571/AH601</f>
        <v>1.7241379310344827E-2</v>
      </c>
      <c r="AJ571" s="6">
        <f>4/$AJ$3</f>
        <v>1.6194331983805668E-2</v>
      </c>
      <c r="AL571">
        <v>6</v>
      </c>
      <c r="AM571" s="6">
        <f>AL571/AL601</f>
        <v>2.7522935779816515E-2</v>
      </c>
      <c r="AN571" s="6">
        <f>6/$AN$3</f>
        <v>2.5862068965517241E-2</v>
      </c>
      <c r="AP571">
        <v>2</v>
      </c>
      <c r="AQ571" s="6">
        <f>AP571/AP601</f>
        <v>1.1834319526627219E-2</v>
      </c>
      <c r="AR571" s="6">
        <f>2/$AR$3</f>
        <v>1.0752688172043012E-2</v>
      </c>
      <c r="AT571">
        <v>2</v>
      </c>
      <c r="AU571" s="6">
        <f>AT571/AT601</f>
        <v>1.7094017094017096E-2</v>
      </c>
      <c r="AV571" s="6">
        <f>2/$AV$3</f>
        <v>1.6129032258064516E-2</v>
      </c>
      <c r="AX571">
        <v>13</v>
      </c>
      <c r="AY571" s="6">
        <f>AX571/AX601</f>
        <v>3.2911392405063293E-2</v>
      </c>
      <c r="AZ571" s="6">
        <f>13/$AZ$3</f>
        <v>3.0232558139534883E-2</v>
      </c>
      <c r="BB571">
        <v>10</v>
      </c>
      <c r="BC571" s="6">
        <f>BB571/BB601</f>
        <v>2.4691358024691357E-2</v>
      </c>
      <c r="BD571" s="6">
        <f>10/$BD$3</f>
        <v>2.336448598130841E-2</v>
      </c>
      <c r="BF571">
        <v>7</v>
      </c>
      <c r="BG571" s="6">
        <f>BF571/BF601</f>
        <v>3.0434782608695653E-2</v>
      </c>
      <c r="BH571" s="6">
        <f>7/$BH$3</f>
        <v>2.8925619834710745E-2</v>
      </c>
      <c r="BJ571">
        <v>12</v>
      </c>
      <c r="BK571" s="6">
        <f>BJ571/BJ601</f>
        <v>3.2171581769436998E-2</v>
      </c>
      <c r="BL571" s="6">
        <f>12/$BL$3</f>
        <v>2.9776674937965261E-2</v>
      </c>
      <c r="BN571">
        <v>11</v>
      </c>
      <c r="BO571" s="6">
        <f>BN571/BN601</f>
        <v>2.7989821882951654E-2</v>
      </c>
      <c r="BP571" s="6">
        <f>11/$BP$3</f>
        <v>2.6004728132387706E-2</v>
      </c>
      <c r="BR571">
        <v>7</v>
      </c>
      <c r="BS571" s="6">
        <f>BR571/BR601</f>
        <v>2.6515151515151516E-2</v>
      </c>
      <c r="BT571" s="6">
        <f>7/$BT$3</f>
        <v>2.5547445255474453E-2</v>
      </c>
      <c r="BV571">
        <v>11</v>
      </c>
      <c r="BW571" s="6">
        <f>BV571/BV601</f>
        <v>3.8461538461538464E-2</v>
      </c>
      <c r="BX571" s="6">
        <f>11/$BX$3</f>
        <v>3.6065573770491806E-2</v>
      </c>
      <c r="BZ571">
        <v>6</v>
      </c>
      <c r="CA571" s="6">
        <f>BZ571/BZ601</f>
        <v>2.843601895734597E-2</v>
      </c>
      <c r="CB571" s="6">
        <f>6/$CB$3</f>
        <v>2.6785714285714284E-2</v>
      </c>
      <c r="CD571">
        <v>5</v>
      </c>
      <c r="CE571" s="6">
        <f>CD571/CD601</f>
        <v>2.2421524663677129E-2</v>
      </c>
      <c r="CF571" s="6">
        <f>5/$CF$3</f>
        <v>2.0746887966804978E-2</v>
      </c>
      <c r="CH571">
        <v>8</v>
      </c>
      <c r="CI571" s="6">
        <f>CH571/CH601</f>
        <v>2.5806451612903226E-2</v>
      </c>
      <c r="CJ571" s="6">
        <f>8/$CJ$3</f>
        <v>2.4242424242424242E-2</v>
      </c>
    </row>
    <row r="573" spans="1:88" x14ac:dyDescent="0.35">
      <c r="A573" s="1" t="s">
        <v>1609</v>
      </c>
      <c r="B573">
        <v>122</v>
      </c>
      <c r="C573" s="6">
        <f>B573/B601</f>
        <v>0.11844660194174757</v>
      </c>
      <c r="D573" s="6">
        <f>122/$D$3</f>
        <v>0.11090909090909092</v>
      </c>
      <c r="F573">
        <v>106</v>
      </c>
      <c r="G573" s="6">
        <f>F573/F601</f>
        <v>0.12211981566820276</v>
      </c>
      <c r="H573" s="6">
        <f>106/$H$3</f>
        <v>0.1163556531284303</v>
      </c>
      <c r="J573">
        <v>40</v>
      </c>
      <c r="K573" s="6">
        <f>J573/J601</f>
        <v>9.5238095238095233E-2</v>
      </c>
      <c r="L573" s="6">
        <f>40/$L$3</f>
        <v>9.2165898617511524E-2</v>
      </c>
      <c r="N573">
        <v>13</v>
      </c>
      <c r="O573" s="6">
        <f>N573/N601</f>
        <v>0.16883116883116883</v>
      </c>
      <c r="P573" s="6">
        <f>13/$P$3</f>
        <v>0.16049382716049382</v>
      </c>
      <c r="R573">
        <v>64</v>
      </c>
      <c r="S573" s="6">
        <f>R573/R601</f>
        <v>0.12213740458015267</v>
      </c>
      <c r="T573" s="6">
        <f>64/$T$3</f>
        <v>0.11428571428571428</v>
      </c>
      <c r="V573">
        <v>58</v>
      </c>
      <c r="W573" s="6">
        <f>V573/V601</f>
        <v>0.11462450592885376</v>
      </c>
      <c r="X573" s="6">
        <f>58/$X$3</f>
        <v>0.10740740740740741</v>
      </c>
      <c r="Z573">
        <v>17</v>
      </c>
      <c r="AA573" s="6">
        <f>Z573/Z601</f>
        <v>0.16037735849056603</v>
      </c>
      <c r="AB573" s="6">
        <f>17/$AB$3</f>
        <v>0.15044247787610621</v>
      </c>
      <c r="AD573">
        <v>24</v>
      </c>
      <c r="AE573" s="6">
        <f>AD573/AD601</f>
        <v>0.1276595744680851</v>
      </c>
      <c r="AF573" s="6">
        <f>24/$AF$3</f>
        <v>0.12121212121212122</v>
      </c>
      <c r="AH573">
        <v>24</v>
      </c>
      <c r="AI573" s="6">
        <f>AH573/AH601</f>
        <v>0.10344827586206896</v>
      </c>
      <c r="AJ573" s="6">
        <f>24/$AJ$3</f>
        <v>9.7165991902834009E-2</v>
      </c>
      <c r="AL573">
        <v>30</v>
      </c>
      <c r="AM573" s="6">
        <f>AL573/AL601</f>
        <v>0.13761467889908258</v>
      </c>
      <c r="AN573" s="6">
        <f>30/$AN$3</f>
        <v>0.12931034482758622</v>
      </c>
      <c r="AP573">
        <v>12</v>
      </c>
      <c r="AQ573" s="6">
        <f>AP573/AP601</f>
        <v>7.1005917159763315E-2</v>
      </c>
      <c r="AR573" s="6">
        <f>12/$AR$3</f>
        <v>6.4516129032258063E-2</v>
      </c>
      <c r="AT573">
        <v>15</v>
      </c>
      <c r="AU573" s="6">
        <f>AT573/AT601</f>
        <v>0.12820512820512819</v>
      </c>
      <c r="AV573" s="6">
        <f>15/$AV$3</f>
        <v>0.12096774193548387</v>
      </c>
      <c r="AX573">
        <v>47</v>
      </c>
      <c r="AY573" s="6">
        <f>AX573/AX601</f>
        <v>0.11898734177215189</v>
      </c>
      <c r="AZ573" s="6">
        <f>47/$AZ$3</f>
        <v>0.10930232558139535</v>
      </c>
      <c r="BB573">
        <v>59</v>
      </c>
      <c r="BC573" s="6">
        <f>BB573/BB601</f>
        <v>0.14567901234567901</v>
      </c>
      <c r="BD573" s="6">
        <f>59/$BD$3</f>
        <v>0.13785046728971961</v>
      </c>
      <c r="BE573" s="7" t="s">
        <v>5</v>
      </c>
      <c r="BF573">
        <v>16</v>
      </c>
      <c r="BG573" s="6">
        <f>BF573/BF601</f>
        <v>6.9565217391304349E-2</v>
      </c>
      <c r="BH573" s="6">
        <f>16/$BH$3</f>
        <v>6.6115702479338845E-2</v>
      </c>
      <c r="BJ573">
        <v>43</v>
      </c>
      <c r="BK573" s="6">
        <f>BJ573/BJ601</f>
        <v>0.11528150134048257</v>
      </c>
      <c r="BL573" s="6">
        <f>43/$BL$3</f>
        <v>0.10669975186104218</v>
      </c>
      <c r="BN573">
        <v>51</v>
      </c>
      <c r="BO573" s="6">
        <f>BN573/BN601</f>
        <v>0.12977099236641221</v>
      </c>
      <c r="BP573" s="6">
        <f>51/$BP$3</f>
        <v>0.12056737588652482</v>
      </c>
      <c r="BR573">
        <v>28</v>
      </c>
      <c r="BS573" s="6">
        <f>BR573/BR601</f>
        <v>0.10606060606060606</v>
      </c>
      <c r="BT573" s="6">
        <f>28/$BT$3</f>
        <v>0.10218978102189781</v>
      </c>
      <c r="BV573">
        <v>37</v>
      </c>
      <c r="BW573" s="6">
        <f>BV573/BV601</f>
        <v>0.12937062937062938</v>
      </c>
      <c r="BX573" s="6">
        <f>37/$BX$3</f>
        <v>0.12131147540983607</v>
      </c>
      <c r="BZ573">
        <v>30</v>
      </c>
      <c r="CA573" s="6">
        <f>BZ573/BZ601</f>
        <v>0.14218009478672985</v>
      </c>
      <c r="CB573" s="6">
        <f>30/$CB$3</f>
        <v>0.13392857142857142</v>
      </c>
      <c r="CD573">
        <v>25</v>
      </c>
      <c r="CE573" s="6">
        <f>CD573/CD601</f>
        <v>0.11210762331838565</v>
      </c>
      <c r="CF573" s="6">
        <f>25/$CF$3</f>
        <v>0.1037344398340249</v>
      </c>
      <c r="CH573">
        <v>30</v>
      </c>
      <c r="CI573" s="6">
        <f>CH573/CH601</f>
        <v>9.6774193548387094E-2</v>
      </c>
      <c r="CJ573" s="6">
        <f>30/$CJ$3</f>
        <v>9.0909090909090912E-2</v>
      </c>
    </row>
    <row r="574" spans="1:88" x14ac:dyDescent="0.35">
      <c r="A574" s="1" t="s">
        <v>1610</v>
      </c>
      <c r="B574">
        <v>137</v>
      </c>
      <c r="C574" s="6">
        <f>B574/B601</f>
        <v>0.13300970873786408</v>
      </c>
      <c r="D574" s="6">
        <f>137/$D$3</f>
        <v>0.12454545454545454</v>
      </c>
      <c r="F574">
        <v>118</v>
      </c>
      <c r="G574" s="6">
        <f>F574/F601</f>
        <v>0.13594470046082949</v>
      </c>
      <c r="H574" s="6">
        <f>118/$H$3</f>
        <v>0.12952799121844127</v>
      </c>
      <c r="J574">
        <v>58</v>
      </c>
      <c r="K574" s="6">
        <f>J574/J601</f>
        <v>0.1380952380952381</v>
      </c>
      <c r="L574" s="6">
        <f>58/$L$3</f>
        <v>0.13364055299539171</v>
      </c>
      <c r="N574">
        <v>15</v>
      </c>
      <c r="O574" s="6">
        <f>N574/N601</f>
        <v>0.19480519480519481</v>
      </c>
      <c r="P574" s="6">
        <f>15/$P$3</f>
        <v>0.18518518518518517</v>
      </c>
      <c r="R574">
        <v>66</v>
      </c>
      <c r="S574" s="6">
        <f>R574/R601</f>
        <v>0.12595419847328243</v>
      </c>
      <c r="T574" s="6">
        <f>66/$T$3</f>
        <v>0.11785714285714285</v>
      </c>
      <c r="V574">
        <v>71</v>
      </c>
      <c r="W574" s="6">
        <f>V574/V601</f>
        <v>0.14031620553359683</v>
      </c>
      <c r="X574" s="6">
        <f>71/$X$3</f>
        <v>0.13148148148148148</v>
      </c>
      <c r="Z574">
        <v>8</v>
      </c>
      <c r="AA574" s="6">
        <f>Z574/Z601</f>
        <v>7.5471698113207544E-2</v>
      </c>
      <c r="AB574" s="6">
        <f>8/$AB$3</f>
        <v>7.0796460176991149E-2</v>
      </c>
      <c r="AD574">
        <v>28</v>
      </c>
      <c r="AE574" s="6">
        <f>AD574/AD601</f>
        <v>0.14893617021276595</v>
      </c>
      <c r="AF574" s="6">
        <f>28/$AF$3</f>
        <v>0.14141414141414141</v>
      </c>
      <c r="AH574">
        <v>25</v>
      </c>
      <c r="AI574" s="6">
        <f>AH574/AH601</f>
        <v>0.10775862068965517</v>
      </c>
      <c r="AJ574" s="6">
        <f>25/$AJ$3</f>
        <v>0.10121457489878542</v>
      </c>
      <c r="AL574">
        <v>39</v>
      </c>
      <c r="AM574" s="6">
        <f>AL574/AL601</f>
        <v>0.17889908256880735</v>
      </c>
      <c r="AN574" s="6">
        <f>39/$AN$3</f>
        <v>0.16810344827586207</v>
      </c>
      <c r="AP574">
        <v>23</v>
      </c>
      <c r="AQ574" s="6">
        <f>AP574/AP601</f>
        <v>0.13609467455621302</v>
      </c>
      <c r="AR574" s="6">
        <f>23/$AR$3</f>
        <v>0.12365591397849462</v>
      </c>
      <c r="AT574">
        <v>14</v>
      </c>
      <c r="AU574" s="6">
        <f>AT574/AT601</f>
        <v>0.11965811965811966</v>
      </c>
      <c r="AV574" s="6">
        <f>14/$AV$3</f>
        <v>0.11290322580645161</v>
      </c>
      <c r="AX574">
        <v>57</v>
      </c>
      <c r="AY574" s="6">
        <f>AX574/AX601</f>
        <v>0.14430379746835442</v>
      </c>
      <c r="AZ574" s="6">
        <f>57/$AZ$3</f>
        <v>0.13255813953488371</v>
      </c>
      <c r="BB574">
        <v>58</v>
      </c>
      <c r="BC574" s="6">
        <f>BB574/BB601</f>
        <v>0.14320987654320988</v>
      </c>
      <c r="BD574" s="6">
        <f>58/$BD$3</f>
        <v>0.13551401869158877</v>
      </c>
      <c r="BF574">
        <v>22</v>
      </c>
      <c r="BG574" s="6">
        <f>BF574/BF601</f>
        <v>9.5652173913043481E-2</v>
      </c>
      <c r="BH574" s="6">
        <f>22/$BH$3</f>
        <v>9.0909090909090912E-2</v>
      </c>
      <c r="BJ574">
        <v>47</v>
      </c>
      <c r="BK574" s="6">
        <f>BJ574/BJ601</f>
        <v>0.12600536193029491</v>
      </c>
      <c r="BL574" s="6">
        <f>47/$BL$3</f>
        <v>0.11662531017369727</v>
      </c>
      <c r="BN574">
        <v>54</v>
      </c>
      <c r="BO574" s="6">
        <f>BN574/BN601</f>
        <v>0.13740458015267176</v>
      </c>
      <c r="BP574" s="6">
        <f>54/$BP$3</f>
        <v>0.1276595744680851</v>
      </c>
      <c r="BR574">
        <v>36</v>
      </c>
      <c r="BS574" s="6">
        <f>BR574/BR601</f>
        <v>0.13636363636363635</v>
      </c>
      <c r="BT574" s="6">
        <f>36/$BT$3</f>
        <v>0.13138686131386862</v>
      </c>
      <c r="BV574">
        <v>47</v>
      </c>
      <c r="BW574" s="6">
        <f>BV574/BV601</f>
        <v>0.16433566433566432</v>
      </c>
      <c r="BX574" s="6">
        <f>47/$BX$3</f>
        <v>0.1540983606557377</v>
      </c>
      <c r="BZ574">
        <v>28</v>
      </c>
      <c r="CA574" s="6">
        <f>BZ574/BZ601</f>
        <v>0.13270142180094788</v>
      </c>
      <c r="CB574" s="6">
        <f>28/$CB$3</f>
        <v>0.125</v>
      </c>
      <c r="CD574">
        <v>32</v>
      </c>
      <c r="CE574" s="6">
        <f>CD574/CD601</f>
        <v>0.14349775784753363</v>
      </c>
      <c r="CF574" s="6">
        <f>32/$CF$3</f>
        <v>0.13278008298755187</v>
      </c>
      <c r="CH574">
        <v>30</v>
      </c>
      <c r="CI574" s="6">
        <f>CH574/CH601</f>
        <v>9.6774193548387094E-2</v>
      </c>
      <c r="CJ574" s="6">
        <f>30/$CJ$3</f>
        <v>9.0909090909090912E-2</v>
      </c>
    </row>
    <row r="575" spans="1:88" x14ac:dyDescent="0.35">
      <c r="A575" s="1" t="s">
        <v>1611</v>
      </c>
      <c r="B575">
        <v>218</v>
      </c>
      <c r="C575" s="6">
        <f>B575/B601</f>
        <v>0.21165048543689322</v>
      </c>
      <c r="D575" s="6">
        <f>218/$D$3</f>
        <v>0.19818181818181818</v>
      </c>
      <c r="F575">
        <v>191</v>
      </c>
      <c r="G575" s="6">
        <f>F575/F601</f>
        <v>0.22004608294930875</v>
      </c>
      <c r="H575" s="6">
        <f>191/$H$3</f>
        <v>0.20965971459934138</v>
      </c>
      <c r="J575">
        <v>72</v>
      </c>
      <c r="K575" s="6">
        <f>J575/J601</f>
        <v>0.17142857142857143</v>
      </c>
      <c r="L575" s="6">
        <f>72/$L$3</f>
        <v>0.16589861751152074</v>
      </c>
      <c r="N575">
        <v>20</v>
      </c>
      <c r="O575" s="6">
        <f>N575/N601</f>
        <v>0.25974025974025972</v>
      </c>
      <c r="P575" s="6">
        <f>20/$P$3</f>
        <v>0.24691358024691357</v>
      </c>
      <c r="R575">
        <v>105</v>
      </c>
      <c r="S575" s="6">
        <f>R575/R601</f>
        <v>0.20038167938931298</v>
      </c>
      <c r="T575" s="6">
        <f>105/$T$3</f>
        <v>0.1875</v>
      </c>
      <c r="V575">
        <v>113</v>
      </c>
      <c r="W575" s="6">
        <f>V575/V601</f>
        <v>0.22332015810276679</v>
      </c>
      <c r="X575" s="6">
        <f>113/$X$3</f>
        <v>0.20925925925925926</v>
      </c>
      <c r="Z575">
        <v>15</v>
      </c>
      <c r="AA575" s="6">
        <f>Z575/Z601</f>
        <v>0.14150943396226415</v>
      </c>
      <c r="AB575" s="6">
        <f>15/$AB$3</f>
        <v>0.13274336283185842</v>
      </c>
      <c r="AD575">
        <v>50</v>
      </c>
      <c r="AE575" s="6">
        <f>AD575/AD601</f>
        <v>0.26595744680851063</v>
      </c>
      <c r="AF575" s="9">
        <f>50/$AF$3</f>
        <v>0.25252525252525254</v>
      </c>
      <c r="AG575" s="7"/>
      <c r="AH575">
        <v>34</v>
      </c>
      <c r="AI575" s="6">
        <f>AH575/AH601</f>
        <v>0.14655172413793102</v>
      </c>
      <c r="AJ575" s="8">
        <f>34/$AJ$3</f>
        <v>0.13765182186234817</v>
      </c>
      <c r="AL575">
        <v>54</v>
      </c>
      <c r="AM575" s="6">
        <f>AL575/AL601</f>
        <v>0.24770642201834864</v>
      </c>
      <c r="AN575" s="6">
        <f>54/$AN$3</f>
        <v>0.23275862068965517</v>
      </c>
      <c r="AP575">
        <v>34</v>
      </c>
      <c r="AQ575" s="6">
        <f>AP575/AP601</f>
        <v>0.20118343195266272</v>
      </c>
      <c r="AR575" s="6">
        <f>34/$AR$3</f>
        <v>0.18279569892473119</v>
      </c>
      <c r="AT575">
        <v>31</v>
      </c>
      <c r="AU575" s="6">
        <f>AT575/AT601</f>
        <v>0.26495726495726496</v>
      </c>
      <c r="AV575" s="6">
        <f>31/$AV$3</f>
        <v>0.25</v>
      </c>
      <c r="AX575">
        <v>79</v>
      </c>
      <c r="AY575" s="6">
        <f>AX575/AX601</f>
        <v>0.2</v>
      </c>
      <c r="AZ575" s="6">
        <f>79/$AZ$3</f>
        <v>0.18372093023255814</v>
      </c>
      <c r="BB575">
        <v>95</v>
      </c>
      <c r="BC575" s="6">
        <f>BB575/BB601</f>
        <v>0.23456790123456789</v>
      </c>
      <c r="BD575" s="6">
        <f>95/$BD$3</f>
        <v>0.2219626168224299</v>
      </c>
      <c r="BF575">
        <v>44</v>
      </c>
      <c r="BG575" s="6">
        <f>BF575/BF601</f>
        <v>0.19130434782608696</v>
      </c>
      <c r="BH575" s="6">
        <f>44/$BH$3</f>
        <v>0.18181818181818182</v>
      </c>
      <c r="BJ575">
        <v>71</v>
      </c>
      <c r="BK575" s="6">
        <f>BJ575/BJ601</f>
        <v>0.19034852546916889</v>
      </c>
      <c r="BL575" s="6">
        <f>71/$BL$3</f>
        <v>0.17617866004962779</v>
      </c>
      <c r="BN575">
        <v>95</v>
      </c>
      <c r="BO575" s="6">
        <f>BN575/BN601</f>
        <v>0.24173027989821882</v>
      </c>
      <c r="BP575" s="6">
        <f>95/$BP$3</f>
        <v>0.22458628841607564</v>
      </c>
      <c r="BR575">
        <v>52</v>
      </c>
      <c r="BS575" s="6">
        <f>BR575/BR601</f>
        <v>0.19696969696969696</v>
      </c>
      <c r="BT575" s="6">
        <f>52/$BT$3</f>
        <v>0.18978102189781021</v>
      </c>
      <c r="BV575">
        <v>66</v>
      </c>
      <c r="BW575" s="6">
        <f>BV575/BV601</f>
        <v>0.23076923076923078</v>
      </c>
      <c r="BX575" s="6">
        <f>66/$BX$3</f>
        <v>0.21639344262295082</v>
      </c>
      <c r="BZ575">
        <v>49</v>
      </c>
      <c r="CA575" s="6">
        <f>BZ575/BZ601</f>
        <v>0.23222748815165878</v>
      </c>
      <c r="CB575" s="6">
        <f>49/$CB$3</f>
        <v>0.21875</v>
      </c>
      <c r="CD575">
        <v>42</v>
      </c>
      <c r="CE575" s="6">
        <f>CD575/CD601</f>
        <v>0.18834080717488788</v>
      </c>
      <c r="CF575" s="6">
        <f>42/$CF$3</f>
        <v>0.17427385892116182</v>
      </c>
      <c r="CH575">
        <v>61</v>
      </c>
      <c r="CI575" s="6">
        <f>CH575/CH601</f>
        <v>0.1967741935483871</v>
      </c>
      <c r="CJ575" s="6">
        <f>61/$CJ$3</f>
        <v>0.18484848484848485</v>
      </c>
    </row>
    <row r="576" spans="1:88" x14ac:dyDescent="0.35">
      <c r="A576" s="1" t="s">
        <v>1612</v>
      </c>
      <c r="B576">
        <v>196</v>
      </c>
      <c r="C576" s="6">
        <f>B576/B601</f>
        <v>0.19029126213592232</v>
      </c>
      <c r="D576" s="6">
        <f>196/$D$3</f>
        <v>0.17818181818181819</v>
      </c>
      <c r="F576">
        <v>174</v>
      </c>
      <c r="G576" s="6">
        <f>F576/F601</f>
        <v>0.20046082949308755</v>
      </c>
      <c r="H576" s="6">
        <f>174/$H$3</f>
        <v>0.19099890230515917</v>
      </c>
      <c r="J576">
        <v>81</v>
      </c>
      <c r="K576" s="6">
        <f>J576/J601</f>
        <v>0.19285714285714287</v>
      </c>
      <c r="L576" s="6">
        <f>81/$L$3</f>
        <v>0.18663594470046083</v>
      </c>
      <c r="N576">
        <v>18</v>
      </c>
      <c r="O576" s="6">
        <f>N576/N601</f>
        <v>0.23376623376623376</v>
      </c>
      <c r="P576" s="6">
        <f>18/$P$3</f>
        <v>0.22222222222222221</v>
      </c>
      <c r="R576">
        <v>98</v>
      </c>
      <c r="S576" s="6">
        <f>R576/R601</f>
        <v>0.18702290076335878</v>
      </c>
      <c r="T576" s="6">
        <f>98/$T$3</f>
        <v>0.17499999999999999</v>
      </c>
      <c r="V576">
        <v>98</v>
      </c>
      <c r="W576" s="6">
        <f>V576/V601</f>
        <v>0.19367588932806323</v>
      </c>
      <c r="X576" s="6">
        <f>98/$X$3</f>
        <v>0.18148148148148149</v>
      </c>
      <c r="Z576">
        <v>19</v>
      </c>
      <c r="AA576" s="6">
        <f>Z576/Z601</f>
        <v>0.17924528301886791</v>
      </c>
      <c r="AB576" s="6">
        <f>19/$AB$3</f>
        <v>0.16814159292035399</v>
      </c>
      <c r="AD576">
        <v>44</v>
      </c>
      <c r="AE576" s="6">
        <f>AD576/AD601</f>
        <v>0.23404255319148937</v>
      </c>
      <c r="AF576" s="6">
        <f>44/$AF$3</f>
        <v>0.22222222222222221</v>
      </c>
      <c r="AH576">
        <v>40</v>
      </c>
      <c r="AI576" s="6">
        <f>AH576/AH601</f>
        <v>0.17241379310344829</v>
      </c>
      <c r="AJ576" s="6">
        <f>40/$AJ$3</f>
        <v>0.16194331983805668</v>
      </c>
      <c r="AL576">
        <v>44</v>
      </c>
      <c r="AM576" s="6">
        <f>AL576/AL601</f>
        <v>0.20183486238532111</v>
      </c>
      <c r="AN576" s="6">
        <f>44/$AN$3</f>
        <v>0.18965517241379309</v>
      </c>
      <c r="AP576">
        <v>31</v>
      </c>
      <c r="AQ576" s="6">
        <f>AP576/AP601</f>
        <v>0.18343195266272189</v>
      </c>
      <c r="AR576" s="6">
        <f>31/$AR$3</f>
        <v>0.16666666666666666</v>
      </c>
      <c r="AT576">
        <v>18</v>
      </c>
      <c r="AU576" s="6">
        <f>AT576/AT601</f>
        <v>0.15384615384615385</v>
      </c>
      <c r="AV576" s="6">
        <f>18/$AV$3</f>
        <v>0.14516129032258066</v>
      </c>
      <c r="AX576">
        <v>80</v>
      </c>
      <c r="AY576" s="6">
        <f>AX576/AX601</f>
        <v>0.20253164556962025</v>
      </c>
      <c r="AZ576" s="6">
        <f>80/$AZ$3</f>
        <v>0.18604651162790697</v>
      </c>
      <c r="BB576">
        <v>77</v>
      </c>
      <c r="BC576" s="6">
        <f>BB576/BB601</f>
        <v>0.19012345679012346</v>
      </c>
      <c r="BD576" s="6">
        <f>77/$BD$3</f>
        <v>0.17990654205607476</v>
      </c>
      <c r="BF576">
        <v>39</v>
      </c>
      <c r="BG576" s="6">
        <f>BF576/BF601</f>
        <v>0.16956521739130434</v>
      </c>
      <c r="BH576" s="6">
        <f>39/$BH$3</f>
        <v>0.16115702479338842</v>
      </c>
      <c r="BJ576">
        <v>73</v>
      </c>
      <c r="BK576" s="6">
        <f>BJ576/BJ601</f>
        <v>0.19571045576407506</v>
      </c>
      <c r="BL576" s="6">
        <f>73/$BL$3</f>
        <v>0.18114143920595532</v>
      </c>
      <c r="BN576">
        <v>75</v>
      </c>
      <c r="BO576" s="6">
        <f>BN576/BN601</f>
        <v>0.19083969465648856</v>
      </c>
      <c r="BP576" s="6">
        <f>75/$BP$3</f>
        <v>0.1773049645390071</v>
      </c>
      <c r="BR576">
        <v>48</v>
      </c>
      <c r="BS576" s="6">
        <f>BR576/BR601</f>
        <v>0.18181818181818182</v>
      </c>
      <c r="BT576" s="6">
        <f>48/$BT$3</f>
        <v>0.17518248175182483</v>
      </c>
      <c r="BV576">
        <v>57</v>
      </c>
      <c r="BW576" s="6">
        <f>BV576/BV601</f>
        <v>0.1993006993006993</v>
      </c>
      <c r="BX576" s="6">
        <f>57/$BX$3</f>
        <v>0.18688524590163935</v>
      </c>
      <c r="BZ576">
        <v>53</v>
      </c>
      <c r="CA576" s="6">
        <f>BZ576/BZ601</f>
        <v>0.25118483412322273</v>
      </c>
      <c r="CB576" s="9">
        <f>53/$CB$3</f>
        <v>0.23660714285714285</v>
      </c>
      <c r="CD576">
        <v>38</v>
      </c>
      <c r="CE576" s="6">
        <f>CD576/CD601</f>
        <v>0.17040358744394618</v>
      </c>
      <c r="CF576" s="6">
        <f>38/$CF$3</f>
        <v>0.15767634854771784</v>
      </c>
      <c r="CH576">
        <v>48</v>
      </c>
      <c r="CI576" s="6">
        <f>CH576/CH601</f>
        <v>0.15483870967741936</v>
      </c>
      <c r="CJ576" s="6">
        <f>48/$CJ$3</f>
        <v>0.14545454545454545</v>
      </c>
    </row>
    <row r="577" spans="1:88" x14ac:dyDescent="0.35">
      <c r="A577" s="1" t="s">
        <v>1613</v>
      </c>
      <c r="B577">
        <v>164</v>
      </c>
      <c r="C577" s="6">
        <f>B577/B601</f>
        <v>0.15922330097087378</v>
      </c>
      <c r="D577" s="6">
        <f>164/$D$3</f>
        <v>0.14909090909090908</v>
      </c>
      <c r="F577">
        <v>141</v>
      </c>
      <c r="G577" s="6">
        <f>F577/F601</f>
        <v>0.16244239631336405</v>
      </c>
      <c r="H577" s="6">
        <f>141/$H$3</f>
        <v>0.15477497255762898</v>
      </c>
      <c r="J577">
        <v>60</v>
      </c>
      <c r="K577" s="6">
        <f>J577/J601</f>
        <v>0.14285714285714285</v>
      </c>
      <c r="L577" s="6">
        <f>60/$L$3</f>
        <v>0.13824884792626729</v>
      </c>
      <c r="N577">
        <v>19</v>
      </c>
      <c r="O577" s="6">
        <f>N577/N601</f>
        <v>0.24675324675324675</v>
      </c>
      <c r="P577" s="9">
        <f>19/$P$3</f>
        <v>0.23456790123456789</v>
      </c>
      <c r="R577">
        <v>79</v>
      </c>
      <c r="S577" s="6">
        <f>R577/R601</f>
        <v>0.15076335877862596</v>
      </c>
      <c r="T577" s="6">
        <f>79/$T$3</f>
        <v>0.14107142857142857</v>
      </c>
      <c r="V577">
        <v>85</v>
      </c>
      <c r="W577" s="6">
        <f>V577/V601</f>
        <v>0.16798418972332016</v>
      </c>
      <c r="X577" s="6">
        <f>85/$X$3</f>
        <v>0.15740740740740741</v>
      </c>
      <c r="Z577">
        <v>12</v>
      </c>
      <c r="AA577" s="6">
        <f>Z577/Z601</f>
        <v>0.11320754716981132</v>
      </c>
      <c r="AB577" s="6">
        <f>12/$AB$3</f>
        <v>0.10619469026548672</v>
      </c>
      <c r="AD577">
        <v>30</v>
      </c>
      <c r="AE577" s="6">
        <f>AD577/AD601</f>
        <v>0.15957446808510639</v>
      </c>
      <c r="AF577" s="6">
        <f>30/$AF$3</f>
        <v>0.15151515151515152</v>
      </c>
      <c r="AH577">
        <v>28</v>
      </c>
      <c r="AI577" s="6">
        <f>AH577/AH601</f>
        <v>0.1206896551724138</v>
      </c>
      <c r="AJ577" s="6">
        <f>28/$AJ$3</f>
        <v>0.11336032388663968</v>
      </c>
      <c r="AL577">
        <v>39</v>
      </c>
      <c r="AM577" s="6">
        <f>AL577/AL601</f>
        <v>0.17889908256880735</v>
      </c>
      <c r="AN577" s="6">
        <f>39/$AN$3</f>
        <v>0.16810344827586207</v>
      </c>
      <c r="AP577">
        <v>32</v>
      </c>
      <c r="AQ577" s="6">
        <f>AP577/AP601</f>
        <v>0.1893491124260355</v>
      </c>
      <c r="AR577" s="6">
        <f>32/$AR$3</f>
        <v>0.17204301075268819</v>
      </c>
      <c r="AT577">
        <v>23</v>
      </c>
      <c r="AU577" s="6">
        <f>AT577/AT601</f>
        <v>0.19658119658119658</v>
      </c>
      <c r="AV577" s="6">
        <f>23/$AV$3</f>
        <v>0.18548387096774194</v>
      </c>
      <c r="AX577">
        <v>73</v>
      </c>
      <c r="AY577" s="6">
        <f>AX577/AX601</f>
        <v>0.18481012658227849</v>
      </c>
      <c r="AZ577" s="6">
        <f>73/$AZ$3</f>
        <v>0.16976744186046511</v>
      </c>
      <c r="BB577">
        <v>66</v>
      </c>
      <c r="BC577" s="6">
        <f>BB577/BB601</f>
        <v>0.16296296296296298</v>
      </c>
      <c r="BD577" s="6">
        <f>66/$BD$3</f>
        <v>0.1542056074766355</v>
      </c>
      <c r="BF577">
        <v>25</v>
      </c>
      <c r="BG577" s="6">
        <f>BF577/BF601</f>
        <v>0.10869565217391304</v>
      </c>
      <c r="BH577" s="6">
        <f>25/$BH$3</f>
        <v>0.10330578512396695</v>
      </c>
      <c r="BJ577">
        <v>54</v>
      </c>
      <c r="BK577" s="6">
        <f>BJ577/BJ601</f>
        <v>0.1447721179624665</v>
      </c>
      <c r="BL577" s="6">
        <f>54/$BL$3</f>
        <v>0.13399503722084366</v>
      </c>
      <c r="BN577">
        <v>67</v>
      </c>
      <c r="BO577" s="6">
        <f>BN577/BN601</f>
        <v>0.17048346055979643</v>
      </c>
      <c r="BP577" s="6">
        <f>67/$BP$3</f>
        <v>0.15839243498817968</v>
      </c>
      <c r="BR577">
        <v>43</v>
      </c>
      <c r="BS577" s="6">
        <f>BR577/BR601</f>
        <v>0.16287878787878787</v>
      </c>
      <c r="BT577" s="6">
        <f>43/$BT$3</f>
        <v>0.15693430656934307</v>
      </c>
      <c r="BV577">
        <v>54</v>
      </c>
      <c r="BW577" s="6">
        <f>BV577/BV601</f>
        <v>0.1888111888111888</v>
      </c>
      <c r="BX577" s="6">
        <f>54/$BX$3</f>
        <v>0.17704918032786884</v>
      </c>
      <c r="BZ577">
        <v>41</v>
      </c>
      <c r="CA577" s="6">
        <f>BZ577/BZ601</f>
        <v>0.19431279620853081</v>
      </c>
      <c r="CB577" s="6">
        <f>41/$CB$3</f>
        <v>0.18303571428571427</v>
      </c>
      <c r="CD577">
        <v>32</v>
      </c>
      <c r="CE577" s="6">
        <f>CD577/CD601</f>
        <v>0.14349775784753363</v>
      </c>
      <c r="CF577" s="6">
        <f>32/$CF$3</f>
        <v>0.13278008298755187</v>
      </c>
      <c r="CH577">
        <v>37</v>
      </c>
      <c r="CI577" s="6">
        <f>CH577/CH601</f>
        <v>0.11935483870967742</v>
      </c>
      <c r="CJ577" s="6">
        <f>37/$CJ$3</f>
        <v>0.11212121212121212</v>
      </c>
    </row>
    <row r="578" spans="1:88" x14ac:dyDescent="0.35">
      <c r="A578" s="1" t="s">
        <v>1614</v>
      </c>
      <c r="B578">
        <v>75</v>
      </c>
      <c r="C578" s="6">
        <f>B578/B601</f>
        <v>7.281553398058252E-2</v>
      </c>
      <c r="D578" s="6">
        <f>75/$D$3</f>
        <v>6.8181818181818177E-2</v>
      </c>
      <c r="F578">
        <v>67</v>
      </c>
      <c r="G578" s="6">
        <f>F578/F601</f>
        <v>7.7188940092165897E-2</v>
      </c>
      <c r="H578" s="6">
        <f>67/$H$3</f>
        <v>7.3545554335894617E-2</v>
      </c>
      <c r="J578">
        <v>35</v>
      </c>
      <c r="K578" s="6">
        <f>J578/J601</f>
        <v>8.3333333333333329E-2</v>
      </c>
      <c r="L578" s="6">
        <f>35/$L$3</f>
        <v>8.0645161290322578E-2</v>
      </c>
      <c r="N578">
        <v>6</v>
      </c>
      <c r="O578" s="6">
        <f>N578/N601</f>
        <v>7.792207792207792E-2</v>
      </c>
      <c r="P578" s="6">
        <f>6/$P$3</f>
        <v>7.407407407407407E-2</v>
      </c>
      <c r="R578">
        <v>39</v>
      </c>
      <c r="S578" s="6">
        <f>R578/R601</f>
        <v>7.4427480916030533E-2</v>
      </c>
      <c r="T578" s="6">
        <f>39/$T$3</f>
        <v>6.9642857142857145E-2</v>
      </c>
      <c r="V578">
        <v>36</v>
      </c>
      <c r="W578" s="6">
        <f>V578/V601</f>
        <v>7.1146245059288543E-2</v>
      </c>
      <c r="X578" s="6">
        <f>36/$X$3</f>
        <v>6.6666666666666666E-2</v>
      </c>
      <c r="Z578">
        <v>9</v>
      </c>
      <c r="AA578" s="6">
        <f>Z578/Z601</f>
        <v>8.4905660377358486E-2</v>
      </c>
      <c r="AB578" s="6">
        <f>9/$AB$3</f>
        <v>7.9646017699115043E-2</v>
      </c>
      <c r="AD578">
        <v>15</v>
      </c>
      <c r="AE578" s="6">
        <f>AD578/AD601</f>
        <v>7.9787234042553196E-2</v>
      </c>
      <c r="AF578" s="6">
        <f>15/$AF$3</f>
        <v>7.575757575757576E-2</v>
      </c>
      <c r="AH578">
        <v>17</v>
      </c>
      <c r="AI578" s="6">
        <f>AH578/AH601</f>
        <v>7.3275862068965511E-2</v>
      </c>
      <c r="AJ578" s="6">
        <f>17/$AJ$3</f>
        <v>6.8825910931174086E-2</v>
      </c>
      <c r="AL578">
        <v>16</v>
      </c>
      <c r="AM578" s="6">
        <f>AL578/AL601</f>
        <v>7.3394495412844041E-2</v>
      </c>
      <c r="AN578" s="6">
        <f>16/$AN$3</f>
        <v>6.8965517241379309E-2</v>
      </c>
      <c r="AP578">
        <v>11</v>
      </c>
      <c r="AQ578" s="6">
        <f>AP578/AP601</f>
        <v>6.5088757396449703E-2</v>
      </c>
      <c r="AR578" s="6">
        <f>11/$AR$3</f>
        <v>5.9139784946236562E-2</v>
      </c>
      <c r="AT578">
        <v>7</v>
      </c>
      <c r="AU578" s="6">
        <f>AT578/AT601</f>
        <v>5.9829059829059832E-2</v>
      </c>
      <c r="AV578" s="6">
        <f>7/$AV$3</f>
        <v>5.6451612903225805E-2</v>
      </c>
      <c r="AX578">
        <v>31</v>
      </c>
      <c r="AY578" s="6">
        <f>AX578/AX601</f>
        <v>7.848101265822785E-2</v>
      </c>
      <c r="AZ578" s="6">
        <f>31/$AZ$3</f>
        <v>7.2093023255813959E-2</v>
      </c>
      <c r="BB578">
        <v>30</v>
      </c>
      <c r="BC578" s="6">
        <f>BB578/BB601</f>
        <v>7.407407407407407E-2</v>
      </c>
      <c r="BD578" s="6">
        <f>30/$BD$3</f>
        <v>7.0093457943925228E-2</v>
      </c>
      <c r="BF578">
        <v>14</v>
      </c>
      <c r="BG578" s="6">
        <f>BF578/BF601</f>
        <v>6.0869565217391307E-2</v>
      </c>
      <c r="BH578" s="6">
        <f>14/$BH$3</f>
        <v>5.7851239669421489E-2</v>
      </c>
      <c r="BJ578">
        <v>28</v>
      </c>
      <c r="BK578" s="6">
        <f>BJ578/BJ601</f>
        <v>7.5067024128686322E-2</v>
      </c>
      <c r="BL578" s="6">
        <f>28/$BL$3</f>
        <v>6.9478908188585611E-2</v>
      </c>
      <c r="BN578">
        <v>28</v>
      </c>
      <c r="BO578" s="6">
        <f>BN578/BN601</f>
        <v>7.124681933842239E-2</v>
      </c>
      <c r="BP578" s="6">
        <f>28/$BP$3</f>
        <v>6.6193853427895979E-2</v>
      </c>
      <c r="BR578">
        <v>19</v>
      </c>
      <c r="BS578" s="6">
        <f>BR578/BR601</f>
        <v>7.1969696969696975E-2</v>
      </c>
      <c r="BT578" s="6">
        <f>19/$BT$3</f>
        <v>6.9343065693430656E-2</v>
      </c>
      <c r="BV578">
        <v>22</v>
      </c>
      <c r="BW578" s="6">
        <f>BV578/BV601</f>
        <v>7.6923076923076927E-2</v>
      </c>
      <c r="BX578" s="6">
        <f>22/$BX$3</f>
        <v>7.2131147540983612E-2</v>
      </c>
      <c r="BZ578">
        <v>17</v>
      </c>
      <c r="CA578" s="6">
        <f>BZ578/BZ601</f>
        <v>8.0568720379146919E-2</v>
      </c>
      <c r="CB578" s="6">
        <f>17/$CB$3</f>
        <v>7.5892857142857137E-2</v>
      </c>
      <c r="CD578">
        <v>15</v>
      </c>
      <c r="CE578" s="6">
        <f>CD578/CD601</f>
        <v>6.726457399103139E-2</v>
      </c>
      <c r="CF578" s="6">
        <f>15/$CF$3</f>
        <v>6.2240663900414939E-2</v>
      </c>
      <c r="CH578">
        <v>21</v>
      </c>
      <c r="CI578" s="6">
        <f>CH578/CH601</f>
        <v>6.7741935483870974E-2</v>
      </c>
      <c r="CJ578" s="6">
        <f>21/$CJ$3</f>
        <v>6.363636363636363E-2</v>
      </c>
    </row>
    <row r="579" spans="1:88" x14ac:dyDescent="0.35">
      <c r="A579" s="1" t="s">
        <v>1615</v>
      </c>
      <c r="B579">
        <v>157</v>
      </c>
      <c r="C579" s="6">
        <f>B579/B601</f>
        <v>0.15242718446601941</v>
      </c>
      <c r="D579" s="6">
        <f>157/$D$3</f>
        <v>0.14272727272727273</v>
      </c>
      <c r="F579">
        <v>142</v>
      </c>
      <c r="G579" s="6">
        <f>F579/F601</f>
        <v>0.16359447004608296</v>
      </c>
      <c r="H579" s="6">
        <f>142/$H$3</f>
        <v>0.15587266739846323</v>
      </c>
      <c r="J579">
        <v>64</v>
      </c>
      <c r="K579" s="6">
        <f>J579/J601</f>
        <v>0.15238095238095239</v>
      </c>
      <c r="L579" s="6">
        <f>64/$L$3</f>
        <v>0.14746543778801843</v>
      </c>
      <c r="N579">
        <v>18</v>
      </c>
      <c r="O579" s="6">
        <f>N579/N601</f>
        <v>0.23376623376623376</v>
      </c>
      <c r="P579" s="9">
        <f>18/$P$3</f>
        <v>0.22222222222222221</v>
      </c>
      <c r="R579">
        <v>69</v>
      </c>
      <c r="S579" s="6">
        <f>R579/R601</f>
        <v>0.1316793893129771</v>
      </c>
      <c r="T579" s="6">
        <f>69/$T$3</f>
        <v>0.12321428571428572</v>
      </c>
      <c r="V579">
        <v>88</v>
      </c>
      <c r="W579" s="6">
        <f>V579/V601</f>
        <v>0.17391304347826086</v>
      </c>
      <c r="X579" s="6">
        <f>88/$X$3</f>
        <v>0.16296296296296298</v>
      </c>
      <c r="Z579">
        <v>15</v>
      </c>
      <c r="AA579" s="6">
        <f>Z579/Z601</f>
        <v>0.14150943396226415</v>
      </c>
      <c r="AB579" s="6">
        <f>15/$AB$3</f>
        <v>0.13274336283185842</v>
      </c>
      <c r="AD579">
        <v>28</v>
      </c>
      <c r="AE579" s="6">
        <f>AD579/AD601</f>
        <v>0.14893617021276595</v>
      </c>
      <c r="AF579" s="6">
        <f>28/$AF$3</f>
        <v>0.14141414141414141</v>
      </c>
      <c r="AH579">
        <v>31</v>
      </c>
      <c r="AI579" s="6">
        <f>AH579/AH601</f>
        <v>0.1336206896551724</v>
      </c>
      <c r="AJ579" s="6">
        <f>31/$AJ$3</f>
        <v>0.12550607287449392</v>
      </c>
      <c r="AL579">
        <v>41</v>
      </c>
      <c r="AM579" s="6">
        <f>AL579/AL601</f>
        <v>0.18807339449541285</v>
      </c>
      <c r="AN579" s="6">
        <f>41/$AN$3</f>
        <v>0.17672413793103448</v>
      </c>
      <c r="AP579">
        <v>28</v>
      </c>
      <c r="AQ579" s="6">
        <f>AP579/AP601</f>
        <v>0.16568047337278108</v>
      </c>
      <c r="AR579" s="6">
        <f>28/$AR$3</f>
        <v>0.15053763440860216</v>
      </c>
      <c r="AT579">
        <v>14</v>
      </c>
      <c r="AU579" s="6">
        <f>AT579/AT601</f>
        <v>0.11965811965811966</v>
      </c>
      <c r="AV579" s="6">
        <f>14/$AV$3</f>
        <v>0.11290322580645161</v>
      </c>
      <c r="AX579">
        <v>66</v>
      </c>
      <c r="AY579" s="6">
        <f>AX579/AX601</f>
        <v>0.16708860759493671</v>
      </c>
      <c r="AZ579" s="6">
        <f>66/$AZ$3</f>
        <v>0.15348837209302327</v>
      </c>
      <c r="BB579">
        <v>67</v>
      </c>
      <c r="BC579" s="6">
        <f>BB579/BB601</f>
        <v>0.16543209876543211</v>
      </c>
      <c r="BD579" s="6">
        <f>67/$BD$3</f>
        <v>0.15654205607476634</v>
      </c>
      <c r="BF579">
        <v>24</v>
      </c>
      <c r="BG579" s="6">
        <f>BF579/BF601</f>
        <v>0.10434782608695652</v>
      </c>
      <c r="BH579" s="6">
        <f>24/$BH$3</f>
        <v>9.9173553719008267E-2</v>
      </c>
      <c r="BJ579">
        <v>64</v>
      </c>
      <c r="BK579" s="6">
        <f>BJ579/BJ601</f>
        <v>0.17158176943699732</v>
      </c>
      <c r="BL579" s="6">
        <f>64/$BL$3</f>
        <v>0.15880893300248139</v>
      </c>
      <c r="BN579">
        <v>60</v>
      </c>
      <c r="BO579" s="6">
        <f>BN579/BN601</f>
        <v>0.15267175572519084</v>
      </c>
      <c r="BP579" s="6">
        <f>60/$BP$3</f>
        <v>0.14184397163120568</v>
      </c>
      <c r="BR579">
        <v>33</v>
      </c>
      <c r="BS579" s="6">
        <f>BR579/BR601</f>
        <v>0.125</v>
      </c>
      <c r="BT579" s="6">
        <f>33/$BT$3</f>
        <v>0.12043795620437957</v>
      </c>
      <c r="BV579">
        <v>53</v>
      </c>
      <c r="BW579" s="6">
        <f>BV579/BV601</f>
        <v>0.18531468531468531</v>
      </c>
      <c r="BX579" s="6">
        <f>53/$BX$3</f>
        <v>0.17377049180327869</v>
      </c>
      <c r="BZ579">
        <v>32</v>
      </c>
      <c r="CA579" s="6">
        <f>BZ579/BZ601</f>
        <v>0.15165876777251186</v>
      </c>
      <c r="CB579" s="6">
        <f>32/$CB$3</f>
        <v>0.14285714285714285</v>
      </c>
      <c r="CD579">
        <v>32</v>
      </c>
      <c r="CE579" s="6">
        <f>CD579/CD601</f>
        <v>0.14349775784753363</v>
      </c>
      <c r="CF579" s="6">
        <f>32/$CF$3</f>
        <v>0.13278008298755187</v>
      </c>
      <c r="CH579">
        <v>40</v>
      </c>
      <c r="CI579" s="6">
        <f>CH579/CH601</f>
        <v>0.12903225806451613</v>
      </c>
      <c r="CJ579" s="6">
        <f>40/$CJ$3</f>
        <v>0.12121212121212122</v>
      </c>
    </row>
    <row r="580" spans="1:88" x14ac:dyDescent="0.35">
      <c r="A580" s="1" t="s">
        <v>1616</v>
      </c>
      <c r="B580">
        <v>126</v>
      </c>
      <c r="C580" s="6">
        <f>B580/B601</f>
        <v>0.12233009708737864</v>
      </c>
      <c r="D580" s="6">
        <f>126/$D$3</f>
        <v>0.11454545454545455</v>
      </c>
      <c r="F580">
        <v>112</v>
      </c>
      <c r="G580" s="6">
        <f>F580/F601</f>
        <v>0.12903225806451613</v>
      </c>
      <c r="H580" s="6">
        <f>112/$H$3</f>
        <v>0.12294182217343579</v>
      </c>
      <c r="J580">
        <v>48</v>
      </c>
      <c r="K580" s="6">
        <f>J580/J601</f>
        <v>0.11428571428571428</v>
      </c>
      <c r="L580" s="6">
        <f>48/$L$3</f>
        <v>0.11059907834101383</v>
      </c>
      <c r="N580">
        <v>10</v>
      </c>
      <c r="O580" s="6">
        <f>N580/N601</f>
        <v>0.12987012987012986</v>
      </c>
      <c r="P580" s="6">
        <f>10/$P$3</f>
        <v>0.12345679012345678</v>
      </c>
      <c r="R580">
        <v>53</v>
      </c>
      <c r="S580" s="6">
        <f>R580/R601</f>
        <v>0.10114503816793893</v>
      </c>
      <c r="T580" s="6">
        <f>53/$T$3</f>
        <v>9.464285714285714E-2</v>
      </c>
      <c r="V580">
        <v>73</v>
      </c>
      <c r="W580" s="6">
        <f>V580/V601</f>
        <v>0.14426877470355731</v>
      </c>
      <c r="X580" s="6">
        <f>73/$X$3</f>
        <v>0.13518518518518519</v>
      </c>
      <c r="Z580">
        <v>14</v>
      </c>
      <c r="AA580" s="6">
        <f>Z580/Z601</f>
        <v>0.13207547169811321</v>
      </c>
      <c r="AB580" s="6">
        <f>14/$AB$3</f>
        <v>0.12389380530973451</v>
      </c>
      <c r="AD580">
        <v>29</v>
      </c>
      <c r="AE580" s="6">
        <f>AD580/AD601</f>
        <v>0.15425531914893617</v>
      </c>
      <c r="AF580" s="6">
        <f>29/$AF$3</f>
        <v>0.14646464646464646</v>
      </c>
      <c r="AH580">
        <v>22</v>
      </c>
      <c r="AI580" s="6">
        <f>AH580/AH601</f>
        <v>9.4827586206896547E-2</v>
      </c>
      <c r="AJ580" s="6">
        <f>22/$AJ$3</f>
        <v>8.9068825910931168E-2</v>
      </c>
      <c r="AL580">
        <v>25</v>
      </c>
      <c r="AM580" s="6">
        <f>AL580/AL601</f>
        <v>0.11467889908256881</v>
      </c>
      <c r="AN580" s="6">
        <f>25/$AN$3</f>
        <v>0.10775862068965517</v>
      </c>
      <c r="AP580">
        <v>22</v>
      </c>
      <c r="AQ580" s="6">
        <f>AP580/AP601</f>
        <v>0.13017751479289941</v>
      </c>
      <c r="AR580" s="6">
        <f>22/$AR$3</f>
        <v>0.11827956989247312</v>
      </c>
      <c r="AT580">
        <v>14</v>
      </c>
      <c r="AU580" s="6">
        <f>AT580/AT601</f>
        <v>0.11965811965811966</v>
      </c>
      <c r="AV580" s="6">
        <f>14/$AV$3</f>
        <v>0.11290322580645161</v>
      </c>
      <c r="AX580">
        <v>53</v>
      </c>
      <c r="AY580" s="6">
        <f>AX580/AX601</f>
        <v>0.13417721518987341</v>
      </c>
      <c r="AZ580" s="6">
        <f>53/$AZ$3</f>
        <v>0.12325581395348838</v>
      </c>
      <c r="BB580">
        <v>52</v>
      </c>
      <c r="BC580" s="6">
        <f>BB580/BB601</f>
        <v>0.12839506172839507</v>
      </c>
      <c r="BD580" s="6">
        <f>52/$BD$3</f>
        <v>0.12149532710280374</v>
      </c>
      <c r="BF580">
        <v>21</v>
      </c>
      <c r="BG580" s="6">
        <f>BF580/BF601</f>
        <v>9.1304347826086957E-2</v>
      </c>
      <c r="BH580" s="6">
        <f>21/$BH$3</f>
        <v>8.6776859504132234E-2</v>
      </c>
      <c r="BJ580">
        <v>46</v>
      </c>
      <c r="BK580" s="6">
        <f>BJ580/BJ601</f>
        <v>0.12332439678284182</v>
      </c>
      <c r="BL580" s="6">
        <f>46/$BL$3</f>
        <v>0.11414392059553349</v>
      </c>
      <c r="BN580">
        <v>53</v>
      </c>
      <c r="BO580" s="6">
        <f>BN580/BN601</f>
        <v>0.13486005089058525</v>
      </c>
      <c r="BP580" s="6">
        <f>53/$BP$3</f>
        <v>0.12529550827423167</v>
      </c>
      <c r="BR580">
        <v>27</v>
      </c>
      <c r="BS580" s="6">
        <f>BR580/BR601</f>
        <v>0.10227272727272728</v>
      </c>
      <c r="BT580" s="6">
        <f>27/$BT$3</f>
        <v>9.8540145985401464E-2</v>
      </c>
      <c r="BV580">
        <v>35</v>
      </c>
      <c r="BW580" s="6">
        <f>BV580/BV601</f>
        <v>0.12237762237762238</v>
      </c>
      <c r="BX580" s="6">
        <f>35/$BX$3</f>
        <v>0.11475409836065574</v>
      </c>
      <c r="BZ580">
        <v>30</v>
      </c>
      <c r="CA580" s="6">
        <f>BZ580/BZ601</f>
        <v>0.14218009478672985</v>
      </c>
      <c r="CB580" s="6">
        <f>30/$CB$3</f>
        <v>0.13392857142857142</v>
      </c>
      <c r="CD580">
        <v>26</v>
      </c>
      <c r="CE580" s="6">
        <f>CD580/CD601</f>
        <v>0.11659192825112108</v>
      </c>
      <c r="CF580" s="6">
        <f>26/$CF$3</f>
        <v>0.1078838174273859</v>
      </c>
      <c r="CH580">
        <v>35</v>
      </c>
      <c r="CI580" s="6">
        <f>CH580/CH601</f>
        <v>0.11290322580645161</v>
      </c>
      <c r="CJ580" s="6">
        <f>35/$CJ$3</f>
        <v>0.10606060606060606</v>
      </c>
    </row>
    <row r="582" spans="1:88" x14ac:dyDescent="0.35">
      <c r="A582" s="1" t="s">
        <v>1617</v>
      </c>
      <c r="B582">
        <v>86</v>
      </c>
      <c r="C582" s="6">
        <f>B582/B601</f>
        <v>8.3495145631067955E-2</v>
      </c>
      <c r="D582" s="6">
        <f>86/$D$3</f>
        <v>7.8181818181818186E-2</v>
      </c>
      <c r="F582">
        <v>81</v>
      </c>
      <c r="G582" s="6">
        <f>F582/F601</f>
        <v>9.3317972350230413E-2</v>
      </c>
      <c r="H582" s="6">
        <f>81/$H$3</f>
        <v>8.8913282107574099E-2</v>
      </c>
      <c r="J582">
        <v>60</v>
      </c>
      <c r="K582" s="6">
        <f>J582/J601</f>
        <v>0.14285714285714285</v>
      </c>
      <c r="L582" s="6">
        <f>60/$L$3</f>
        <v>0.13824884792626729</v>
      </c>
      <c r="N582">
        <v>5</v>
      </c>
      <c r="O582" s="6">
        <f>N582/N601</f>
        <v>6.4935064935064929E-2</v>
      </c>
      <c r="P582" s="6">
        <f>5/$P$3</f>
        <v>6.1728395061728392E-2</v>
      </c>
      <c r="R582">
        <v>52</v>
      </c>
      <c r="S582" s="6">
        <f>R582/R601</f>
        <v>9.9236641221374045E-2</v>
      </c>
      <c r="T582" s="6">
        <f>52/$T$3</f>
        <v>9.285714285714286E-2</v>
      </c>
      <c r="V582">
        <v>34</v>
      </c>
      <c r="W582" s="6">
        <f>V582/V601</f>
        <v>6.7193675889328064E-2</v>
      </c>
      <c r="X582" s="6">
        <f>34/$X$3</f>
        <v>6.2962962962962957E-2</v>
      </c>
      <c r="Z582">
        <v>10</v>
      </c>
      <c r="AA582" s="6">
        <f>Z582/Z601</f>
        <v>9.4339622641509441E-2</v>
      </c>
      <c r="AB582" s="6">
        <f>10/$AB$3</f>
        <v>8.8495575221238937E-2</v>
      </c>
      <c r="AD582">
        <v>20</v>
      </c>
      <c r="AE582" s="6">
        <f>AD582/AD601</f>
        <v>0.10638297872340426</v>
      </c>
      <c r="AF582" s="6">
        <f>20/$AF$3</f>
        <v>0.10101010101010101</v>
      </c>
      <c r="AH582">
        <v>23</v>
      </c>
      <c r="AI582" s="6">
        <f>AH582/AH601</f>
        <v>9.9137931034482762E-2</v>
      </c>
      <c r="AJ582" s="6">
        <f>23/$AJ$3</f>
        <v>9.3117408906882596E-2</v>
      </c>
      <c r="AL582">
        <v>20</v>
      </c>
      <c r="AM582" s="6">
        <f>AL582/AL601</f>
        <v>9.1743119266055051E-2</v>
      </c>
      <c r="AN582" s="6">
        <f>20/$AN$3</f>
        <v>8.6206896551724144E-2</v>
      </c>
      <c r="AP582">
        <v>9</v>
      </c>
      <c r="AQ582" s="6">
        <f>AP582/AP601</f>
        <v>5.3254437869822487E-2</v>
      </c>
      <c r="AR582" s="6">
        <f>9/$AR$3</f>
        <v>4.8387096774193547E-2</v>
      </c>
      <c r="AT582">
        <v>4</v>
      </c>
      <c r="AU582" s="6">
        <f>AT582/AT601</f>
        <v>3.4188034188034191E-2</v>
      </c>
      <c r="AV582" s="6">
        <f>4/$AV$3</f>
        <v>3.2258064516129031E-2</v>
      </c>
      <c r="AX582">
        <v>34</v>
      </c>
      <c r="AY582" s="6">
        <f>AX582/AX601</f>
        <v>8.6075949367088608E-2</v>
      </c>
      <c r="AZ582" s="6">
        <f>34/$AZ$3</f>
        <v>7.9069767441860464E-2</v>
      </c>
      <c r="BB582">
        <v>31</v>
      </c>
      <c r="BC582" s="6">
        <f>BB582/BB601</f>
        <v>7.6543209876543214E-2</v>
      </c>
      <c r="BD582" s="6">
        <f>31/$BD$3</f>
        <v>7.2429906542056069E-2</v>
      </c>
      <c r="BF582">
        <v>21</v>
      </c>
      <c r="BG582" s="6">
        <f>BF582/BF601</f>
        <v>9.1304347826086957E-2</v>
      </c>
      <c r="BH582" s="6">
        <f>21/$BH$3</f>
        <v>8.6776859504132234E-2</v>
      </c>
      <c r="BJ582">
        <v>25</v>
      </c>
      <c r="BK582" s="6">
        <f>BJ582/BJ601</f>
        <v>6.7024128686327081E-2</v>
      </c>
      <c r="BL582" s="6">
        <f>25/$BL$3</f>
        <v>6.2034739454094295E-2</v>
      </c>
      <c r="BN582">
        <v>41</v>
      </c>
      <c r="BO582" s="6">
        <f>BN582/BN601</f>
        <v>0.10432569974554708</v>
      </c>
      <c r="BP582" s="6">
        <f>41/$BP$3</f>
        <v>9.6926713947990545E-2</v>
      </c>
      <c r="BR582">
        <v>20</v>
      </c>
      <c r="BS582" s="6">
        <f>BR582/BR601</f>
        <v>7.575757575757576E-2</v>
      </c>
      <c r="BT582" s="6">
        <f>20/$BT$3</f>
        <v>7.2992700729927001E-2</v>
      </c>
      <c r="BV582">
        <v>28</v>
      </c>
      <c r="BW582" s="6">
        <f>BV582/BV601</f>
        <v>9.7902097902097904E-2</v>
      </c>
      <c r="BX582" s="6">
        <f>28/$BX$3</f>
        <v>9.1803278688524587E-2</v>
      </c>
      <c r="BZ582">
        <v>20</v>
      </c>
      <c r="CA582" s="6">
        <f>BZ582/BZ601</f>
        <v>9.4786729857819899E-2</v>
      </c>
      <c r="CB582" s="6">
        <f>20/$CB$3</f>
        <v>8.9285714285714288E-2</v>
      </c>
      <c r="CD582">
        <v>16</v>
      </c>
      <c r="CE582" s="6">
        <f>CD582/CD601</f>
        <v>7.1748878923766815E-2</v>
      </c>
      <c r="CF582" s="6">
        <f>16/$CF$3</f>
        <v>6.6390041493775934E-2</v>
      </c>
      <c r="CH582">
        <v>22</v>
      </c>
      <c r="CI582" s="6">
        <f>CH582/CH601</f>
        <v>7.0967741935483872E-2</v>
      </c>
      <c r="CJ582" s="6">
        <f>22/$CJ$3</f>
        <v>6.6666666666666666E-2</v>
      </c>
    </row>
    <row r="583" spans="1:88" x14ac:dyDescent="0.35">
      <c r="A583" s="1" t="s">
        <v>1618</v>
      </c>
      <c r="B583">
        <v>79</v>
      </c>
      <c r="C583" s="6">
        <f>B583/B601</f>
        <v>7.6699029126213597E-2</v>
      </c>
      <c r="D583" s="6">
        <f>79/$D$3</f>
        <v>7.1818181818181823E-2</v>
      </c>
      <c r="F583">
        <v>72</v>
      </c>
      <c r="G583" s="6">
        <f>F583/F601</f>
        <v>8.294930875576037E-2</v>
      </c>
      <c r="H583" s="6">
        <f>72/$H$3</f>
        <v>7.9034028540065859E-2</v>
      </c>
      <c r="J583">
        <v>52</v>
      </c>
      <c r="K583" s="6">
        <f>J583/J601</f>
        <v>0.12380952380952381</v>
      </c>
      <c r="L583" s="6">
        <f>52/$L$3</f>
        <v>0.11981566820276497</v>
      </c>
      <c r="N583">
        <v>3</v>
      </c>
      <c r="O583" s="6">
        <f>N583/N601</f>
        <v>3.896103896103896E-2</v>
      </c>
      <c r="P583" s="6">
        <f>3/$P$3</f>
        <v>3.7037037037037035E-2</v>
      </c>
      <c r="R583">
        <v>53</v>
      </c>
      <c r="S583" s="6">
        <f>R583/R601</f>
        <v>0.10114503816793893</v>
      </c>
      <c r="T583" s="6">
        <f>53/$T$3</f>
        <v>9.464285714285714E-2</v>
      </c>
      <c r="V583">
        <v>26</v>
      </c>
      <c r="W583" s="6">
        <f>V583/V601</f>
        <v>5.1383399209486168E-2</v>
      </c>
      <c r="X583" s="6">
        <f>26/$X$3</f>
        <v>4.8148148148148148E-2</v>
      </c>
      <c r="Z583">
        <v>7</v>
      </c>
      <c r="AA583" s="6">
        <f>Z583/Z601</f>
        <v>6.6037735849056603E-2</v>
      </c>
      <c r="AB583" s="6">
        <f>7/$AB$3</f>
        <v>6.1946902654867256E-2</v>
      </c>
      <c r="AD583">
        <v>13</v>
      </c>
      <c r="AE583" s="6">
        <f>AD583/AD601</f>
        <v>6.9148936170212769E-2</v>
      </c>
      <c r="AF583" s="6">
        <f>13/$AF$3</f>
        <v>6.5656565656565663E-2</v>
      </c>
      <c r="AH583">
        <v>28</v>
      </c>
      <c r="AI583" s="6">
        <f>AH583/AH601</f>
        <v>0.1206896551724138</v>
      </c>
      <c r="AJ583" s="6">
        <f>28/$AJ$3</f>
        <v>0.11336032388663968</v>
      </c>
      <c r="AK583" s="7"/>
      <c r="AL583">
        <v>16</v>
      </c>
      <c r="AM583" s="6">
        <f>AL583/AL601</f>
        <v>7.3394495412844041E-2</v>
      </c>
      <c r="AN583" s="6">
        <f>16/$AN$3</f>
        <v>6.8965517241379309E-2</v>
      </c>
      <c r="AP583">
        <v>5</v>
      </c>
      <c r="AQ583" s="6">
        <f>AP583/AP601</f>
        <v>2.9585798816568046E-2</v>
      </c>
      <c r="AR583" s="6">
        <f>5/$AR$3</f>
        <v>2.6881720430107527E-2</v>
      </c>
      <c r="AT583">
        <v>10</v>
      </c>
      <c r="AU583" s="6">
        <f>AT583/AT601</f>
        <v>8.5470085470085472E-2</v>
      </c>
      <c r="AV583" s="6">
        <f>10/$AV$3</f>
        <v>8.0645161290322578E-2</v>
      </c>
      <c r="AX583">
        <v>31</v>
      </c>
      <c r="AY583" s="6">
        <f>AX583/AX601</f>
        <v>7.848101265822785E-2</v>
      </c>
      <c r="AZ583" s="6">
        <f>31/$AZ$3</f>
        <v>7.2093023255813959E-2</v>
      </c>
      <c r="BB583">
        <v>32</v>
      </c>
      <c r="BC583" s="6">
        <f>BB583/BB601</f>
        <v>7.9012345679012344E-2</v>
      </c>
      <c r="BD583" s="6">
        <f>32/$BD$3</f>
        <v>7.476635514018691E-2</v>
      </c>
      <c r="BF583">
        <v>16</v>
      </c>
      <c r="BG583" s="6">
        <f>BF583/BF601</f>
        <v>6.9565217391304349E-2</v>
      </c>
      <c r="BH583" s="6">
        <f>16/$BH$3</f>
        <v>6.6115702479338845E-2</v>
      </c>
      <c r="BJ583">
        <v>28</v>
      </c>
      <c r="BK583" s="6">
        <f>BJ583/BJ601</f>
        <v>7.5067024128686322E-2</v>
      </c>
      <c r="BL583" s="6">
        <f>28/$BL$3</f>
        <v>6.9478908188585611E-2</v>
      </c>
      <c r="BN583">
        <v>33</v>
      </c>
      <c r="BO583" s="6">
        <f>BN583/BN601</f>
        <v>8.3969465648854963E-2</v>
      </c>
      <c r="BP583" s="6">
        <f>33/$BP$3</f>
        <v>7.8014184397163122E-2</v>
      </c>
      <c r="BR583">
        <v>18</v>
      </c>
      <c r="BS583" s="6">
        <f>BR583/BR601</f>
        <v>6.8181818181818177E-2</v>
      </c>
      <c r="BT583" s="6">
        <f>18/$BT$3</f>
        <v>6.569343065693431E-2</v>
      </c>
      <c r="BV583">
        <v>23</v>
      </c>
      <c r="BW583" s="6">
        <f>BV583/BV601</f>
        <v>8.0419580419580416E-2</v>
      </c>
      <c r="BX583" s="6">
        <f>23/$BX$3</f>
        <v>7.5409836065573776E-2</v>
      </c>
      <c r="BZ583">
        <v>18</v>
      </c>
      <c r="CA583" s="6">
        <f>BZ583/BZ601</f>
        <v>8.5308056872037921E-2</v>
      </c>
      <c r="CB583" s="6">
        <f>18/$CB$3</f>
        <v>8.0357142857142863E-2</v>
      </c>
      <c r="CD583">
        <v>17</v>
      </c>
      <c r="CE583" s="6">
        <f>CD583/CD601</f>
        <v>7.623318385650224E-2</v>
      </c>
      <c r="CF583" s="6">
        <f>17/$CF$3</f>
        <v>7.0539419087136929E-2</v>
      </c>
      <c r="CH583">
        <v>21</v>
      </c>
      <c r="CI583" s="6">
        <f>CH583/CH601</f>
        <v>6.7741935483870974E-2</v>
      </c>
      <c r="CJ583" s="6">
        <f>21/$CJ$3</f>
        <v>6.363636363636363E-2</v>
      </c>
    </row>
    <row r="584" spans="1:88" x14ac:dyDescent="0.35">
      <c r="A584" s="1" t="s">
        <v>1619</v>
      </c>
      <c r="B584">
        <v>66</v>
      </c>
      <c r="C584" s="6">
        <f>B584/B601</f>
        <v>6.4077669902912623E-2</v>
      </c>
      <c r="D584" s="6">
        <f>66/$D$3</f>
        <v>0.06</v>
      </c>
      <c r="F584">
        <v>62</v>
      </c>
      <c r="G584" s="6">
        <f>F584/F601</f>
        <v>7.1428571428571425E-2</v>
      </c>
      <c r="H584" s="6">
        <f>62/$H$3</f>
        <v>6.8057080131723374E-2</v>
      </c>
      <c r="J584">
        <v>45</v>
      </c>
      <c r="K584" s="6">
        <f>J584/J601</f>
        <v>0.10714285714285714</v>
      </c>
      <c r="L584" s="6">
        <f>45/$L$3</f>
        <v>0.10368663594470046</v>
      </c>
      <c r="N584">
        <v>3</v>
      </c>
      <c r="O584" s="6">
        <f>N584/N601</f>
        <v>3.896103896103896E-2</v>
      </c>
      <c r="P584" s="6">
        <f>3/$P$3</f>
        <v>3.7037037037037035E-2</v>
      </c>
      <c r="R584">
        <v>39</v>
      </c>
      <c r="S584" s="6">
        <f>R584/R601</f>
        <v>7.4427480916030533E-2</v>
      </c>
      <c r="T584" s="6">
        <f>39/$T$3</f>
        <v>6.9642857142857145E-2</v>
      </c>
      <c r="V584">
        <v>27</v>
      </c>
      <c r="W584" s="6">
        <f>V584/V601</f>
        <v>5.33596837944664E-2</v>
      </c>
      <c r="X584" s="6">
        <f>27/$X$3</f>
        <v>0.05</v>
      </c>
      <c r="Z584">
        <v>11</v>
      </c>
      <c r="AA584" s="6">
        <f>Z584/Z601</f>
        <v>0.10377358490566038</v>
      </c>
      <c r="AB584" s="6">
        <f>11/$AB$3</f>
        <v>9.7345132743362831E-2</v>
      </c>
      <c r="AD584">
        <v>13</v>
      </c>
      <c r="AE584" s="6">
        <f>AD584/AD601</f>
        <v>6.9148936170212769E-2</v>
      </c>
      <c r="AF584" s="6">
        <f>13/$AF$3</f>
        <v>6.5656565656565663E-2</v>
      </c>
      <c r="AH584">
        <v>22</v>
      </c>
      <c r="AI584" s="6">
        <f>AH584/AH601</f>
        <v>9.4827586206896547E-2</v>
      </c>
      <c r="AJ584" s="6">
        <f>22/$AJ$3</f>
        <v>8.9068825910931168E-2</v>
      </c>
      <c r="AL584">
        <v>10</v>
      </c>
      <c r="AM584" s="6">
        <f>AL584/AL601</f>
        <v>4.5871559633027525E-2</v>
      </c>
      <c r="AN584" s="6">
        <f>10/$AN$3</f>
        <v>4.3103448275862072E-2</v>
      </c>
      <c r="AP584">
        <v>6</v>
      </c>
      <c r="AQ584" s="6">
        <f>AP584/AP601</f>
        <v>3.5502958579881658E-2</v>
      </c>
      <c r="AR584" s="6">
        <f>6/$AR$3</f>
        <v>3.2258064516129031E-2</v>
      </c>
      <c r="AT584">
        <v>4</v>
      </c>
      <c r="AU584" s="6">
        <f>AT584/AT601</f>
        <v>3.4188034188034191E-2</v>
      </c>
      <c r="AV584" s="6">
        <f>4/$AV$3</f>
        <v>3.2258064516129031E-2</v>
      </c>
      <c r="AX584">
        <v>23</v>
      </c>
      <c r="AY584" s="6">
        <f>AX584/AX601</f>
        <v>5.8227848101265821E-2</v>
      </c>
      <c r="AZ584" s="6">
        <f>23/$AZ$3</f>
        <v>5.3488372093023255E-2</v>
      </c>
      <c r="BB584">
        <v>28</v>
      </c>
      <c r="BC584" s="6">
        <f>BB584/BB601</f>
        <v>6.9135802469135796E-2</v>
      </c>
      <c r="BD584" s="6">
        <f>28/$BD$3</f>
        <v>6.5420560747663545E-2</v>
      </c>
      <c r="BF584">
        <v>15</v>
      </c>
      <c r="BG584" s="6">
        <f>BF584/BF601</f>
        <v>6.5217391304347824E-2</v>
      </c>
      <c r="BH584" s="6">
        <f>15/$BH$3</f>
        <v>6.1983471074380167E-2</v>
      </c>
      <c r="BJ584">
        <v>23</v>
      </c>
      <c r="BK584" s="6">
        <f>BJ584/BJ601</f>
        <v>6.1662198391420911E-2</v>
      </c>
      <c r="BL584" s="6">
        <f>23/$BL$3</f>
        <v>5.7071960297766747E-2</v>
      </c>
      <c r="BN584">
        <v>25</v>
      </c>
      <c r="BO584" s="6">
        <f>BN584/BN601</f>
        <v>6.3613231552162849E-2</v>
      </c>
      <c r="BP584" s="6">
        <f>25/$BP$3</f>
        <v>5.9101654846335699E-2</v>
      </c>
      <c r="BR584">
        <v>18</v>
      </c>
      <c r="BS584" s="6">
        <f>BR584/BR601</f>
        <v>6.8181818181818177E-2</v>
      </c>
      <c r="BT584" s="6">
        <f>18/$BT$3</f>
        <v>6.569343065693431E-2</v>
      </c>
      <c r="BV584">
        <v>18</v>
      </c>
      <c r="BW584" s="6">
        <f>BV584/BV601</f>
        <v>6.2937062937062943E-2</v>
      </c>
      <c r="BX584" s="6">
        <f>18/$BX$3</f>
        <v>5.9016393442622953E-2</v>
      </c>
      <c r="BZ584">
        <v>18</v>
      </c>
      <c r="CA584" s="6">
        <f>BZ584/BZ601</f>
        <v>8.5308056872037921E-2</v>
      </c>
      <c r="CB584" s="6">
        <f>18/$CB$3</f>
        <v>8.0357142857142863E-2</v>
      </c>
      <c r="CD584">
        <v>16</v>
      </c>
      <c r="CE584" s="6">
        <f>CD584/CD601</f>
        <v>7.1748878923766815E-2</v>
      </c>
      <c r="CF584" s="6">
        <f>16/$CF$3</f>
        <v>6.6390041493775934E-2</v>
      </c>
      <c r="CH584">
        <v>14</v>
      </c>
      <c r="CI584" s="6">
        <f>CH584/CH601</f>
        <v>4.5161290322580643E-2</v>
      </c>
      <c r="CJ584" s="6">
        <f>14/$CJ$3</f>
        <v>4.2424242424242427E-2</v>
      </c>
    </row>
    <row r="585" spans="1:88" x14ac:dyDescent="0.35">
      <c r="A585" s="1" t="s">
        <v>1620</v>
      </c>
      <c r="B585">
        <v>62</v>
      </c>
      <c r="C585" s="6">
        <f>B585/B601</f>
        <v>6.0194174757281553E-2</v>
      </c>
      <c r="D585" s="6">
        <f>62/$D$3</f>
        <v>5.6363636363636366E-2</v>
      </c>
      <c r="F585">
        <v>57</v>
      </c>
      <c r="G585" s="6">
        <f>F585/F601</f>
        <v>6.5668202764976952E-2</v>
      </c>
      <c r="H585" s="6">
        <f>57/$H$3</f>
        <v>6.2568605927552146E-2</v>
      </c>
      <c r="J585">
        <v>43</v>
      </c>
      <c r="K585" s="6">
        <f>J585/J601</f>
        <v>0.10238095238095238</v>
      </c>
      <c r="L585" s="6">
        <f>43/$L$3</f>
        <v>9.9078341013824886E-2</v>
      </c>
      <c r="N585">
        <v>4</v>
      </c>
      <c r="O585" s="6">
        <f>N585/N601</f>
        <v>5.1948051948051951E-2</v>
      </c>
      <c r="P585" s="6">
        <f>4/$P$3</f>
        <v>4.9382716049382713E-2</v>
      </c>
      <c r="R585">
        <v>34</v>
      </c>
      <c r="S585" s="6">
        <f>R585/R601</f>
        <v>6.4885496183206104E-2</v>
      </c>
      <c r="T585" s="6">
        <f>34/$T$3</f>
        <v>6.0714285714285714E-2</v>
      </c>
      <c r="V585">
        <v>28</v>
      </c>
      <c r="W585" s="6">
        <f>V585/V601</f>
        <v>5.533596837944664E-2</v>
      </c>
      <c r="X585" s="6">
        <f>28/$X$3</f>
        <v>5.185185185185185E-2</v>
      </c>
      <c r="Z585">
        <v>9</v>
      </c>
      <c r="AA585" s="6">
        <f>Z585/Z601</f>
        <v>8.4905660377358486E-2</v>
      </c>
      <c r="AB585" s="6">
        <f>9/$AB$3</f>
        <v>7.9646017699115043E-2</v>
      </c>
      <c r="AD585">
        <v>17</v>
      </c>
      <c r="AE585" s="6">
        <f>AD585/AD601</f>
        <v>9.0425531914893623E-2</v>
      </c>
      <c r="AF585" s="6">
        <f>17/$AF$3</f>
        <v>8.5858585858585856E-2</v>
      </c>
      <c r="AH585">
        <v>17</v>
      </c>
      <c r="AI585" s="6">
        <f>AH585/AH601</f>
        <v>7.3275862068965511E-2</v>
      </c>
      <c r="AJ585" s="6">
        <f>17/$AJ$3</f>
        <v>6.8825910931174086E-2</v>
      </c>
      <c r="AL585">
        <v>6</v>
      </c>
      <c r="AM585" s="6">
        <f>AL585/AL601</f>
        <v>2.7522935779816515E-2</v>
      </c>
      <c r="AN585" s="6">
        <f>6/$AN$3</f>
        <v>2.5862068965517241E-2</v>
      </c>
      <c r="AP585">
        <v>8</v>
      </c>
      <c r="AQ585" s="6">
        <f>AP585/AP601</f>
        <v>4.7337278106508875E-2</v>
      </c>
      <c r="AR585" s="6">
        <f>8/$AR$3</f>
        <v>4.3010752688172046E-2</v>
      </c>
      <c r="AT585">
        <v>5</v>
      </c>
      <c r="AU585" s="6">
        <f>AT585/AT601</f>
        <v>4.2735042735042736E-2</v>
      </c>
      <c r="AV585" s="6">
        <f>5/$AV$3</f>
        <v>4.0322580645161289E-2</v>
      </c>
      <c r="AX585">
        <v>27</v>
      </c>
      <c r="AY585" s="6">
        <f>AX585/AX601</f>
        <v>6.8354430379746839E-2</v>
      </c>
      <c r="AZ585" s="6">
        <f>27/$AZ$3</f>
        <v>6.2790697674418611E-2</v>
      </c>
      <c r="BB585">
        <v>25</v>
      </c>
      <c r="BC585" s="6">
        <f>BB585/BB601</f>
        <v>6.1728395061728392E-2</v>
      </c>
      <c r="BD585" s="6">
        <f>25/$BD$3</f>
        <v>5.8411214953271028E-2</v>
      </c>
      <c r="BF585">
        <v>10</v>
      </c>
      <c r="BG585" s="6">
        <f>BF585/BF601</f>
        <v>4.3478260869565216E-2</v>
      </c>
      <c r="BH585" s="6">
        <f>10/$BH$3</f>
        <v>4.1322314049586778E-2</v>
      </c>
      <c r="BJ585">
        <v>28</v>
      </c>
      <c r="BK585" s="6">
        <f>BJ585/BJ601</f>
        <v>7.5067024128686322E-2</v>
      </c>
      <c r="BL585" s="6">
        <f>28/$BL$3</f>
        <v>6.9478908188585611E-2</v>
      </c>
      <c r="BN585">
        <v>19</v>
      </c>
      <c r="BO585" s="6">
        <f>BN585/BN601</f>
        <v>4.8346055979643768E-2</v>
      </c>
      <c r="BP585" s="6">
        <f>19/$BP$3</f>
        <v>4.4917257683215132E-2</v>
      </c>
      <c r="BR585">
        <v>15</v>
      </c>
      <c r="BS585" s="6">
        <f>BR585/BR601</f>
        <v>5.6818181818181816E-2</v>
      </c>
      <c r="BT585" s="6">
        <f>15/$BT$3</f>
        <v>5.4744525547445258E-2</v>
      </c>
      <c r="BV585">
        <v>17</v>
      </c>
      <c r="BW585" s="6">
        <f>BV585/BV601</f>
        <v>5.944055944055944E-2</v>
      </c>
      <c r="BX585" s="6">
        <f>17/$BX$3</f>
        <v>5.5737704918032788E-2</v>
      </c>
      <c r="BZ585">
        <v>16</v>
      </c>
      <c r="CA585" s="6">
        <f>BZ585/BZ601</f>
        <v>7.582938388625593E-2</v>
      </c>
      <c r="CB585" s="6">
        <f>16/$CB$3</f>
        <v>7.1428571428571425E-2</v>
      </c>
      <c r="CD585">
        <v>12</v>
      </c>
      <c r="CE585" s="6">
        <f>CD585/CD601</f>
        <v>5.3811659192825115E-2</v>
      </c>
      <c r="CF585" s="6">
        <f>12/$CF$3</f>
        <v>4.9792531120331947E-2</v>
      </c>
      <c r="CH585">
        <v>17</v>
      </c>
      <c r="CI585" s="6">
        <f>CH585/CH601</f>
        <v>5.4838709677419356E-2</v>
      </c>
      <c r="CJ585" s="6">
        <f>17/$CJ$3</f>
        <v>5.1515151515151514E-2</v>
      </c>
    </row>
    <row r="586" spans="1:88" x14ac:dyDescent="0.35">
      <c r="A586" s="1" t="s">
        <v>1621</v>
      </c>
      <c r="B586">
        <v>77</v>
      </c>
      <c r="C586" s="6">
        <f>B586/B601</f>
        <v>7.4757281553398058E-2</v>
      </c>
      <c r="D586" s="6">
        <f>77/$D$3</f>
        <v>7.0000000000000007E-2</v>
      </c>
      <c r="F586">
        <v>71</v>
      </c>
      <c r="G586" s="6">
        <f>F586/F601</f>
        <v>8.1797235023041481E-2</v>
      </c>
      <c r="H586" s="6">
        <f>71/$H$3</f>
        <v>7.7936333699231614E-2</v>
      </c>
      <c r="J586">
        <v>54</v>
      </c>
      <c r="K586" s="6">
        <f>J586/J601</f>
        <v>0.12857142857142856</v>
      </c>
      <c r="L586" s="6">
        <f>54/$L$3</f>
        <v>0.12442396313364056</v>
      </c>
      <c r="N586">
        <v>4</v>
      </c>
      <c r="O586" s="6">
        <f>N586/N601</f>
        <v>5.1948051948051951E-2</v>
      </c>
      <c r="P586" s="6">
        <f>4/$P$3</f>
        <v>4.9382716049382713E-2</v>
      </c>
      <c r="R586">
        <v>43</v>
      </c>
      <c r="S586" s="6">
        <f>R586/R601</f>
        <v>8.2061068702290074E-2</v>
      </c>
      <c r="T586" s="6">
        <f>43/$T$3</f>
        <v>7.678571428571429E-2</v>
      </c>
      <c r="V586">
        <v>34</v>
      </c>
      <c r="W586" s="6">
        <f>V586/V601</f>
        <v>6.7193675889328064E-2</v>
      </c>
      <c r="X586" s="6">
        <f>34/$X$3</f>
        <v>6.2962962962962957E-2</v>
      </c>
      <c r="Z586">
        <v>13</v>
      </c>
      <c r="AA586" s="6">
        <f>Z586/Z601</f>
        <v>0.12264150943396226</v>
      </c>
      <c r="AB586" s="6">
        <f>13/$AB$3</f>
        <v>0.11504424778761062</v>
      </c>
      <c r="AC586" s="7"/>
      <c r="AD586">
        <v>14</v>
      </c>
      <c r="AE586" s="6">
        <f>AD586/AD601</f>
        <v>7.4468085106382975E-2</v>
      </c>
      <c r="AF586" s="6">
        <f>14/$AF$3</f>
        <v>7.0707070707070704E-2</v>
      </c>
      <c r="AH586">
        <v>24</v>
      </c>
      <c r="AI586" s="6">
        <f>AH586/AH601</f>
        <v>0.10344827586206896</v>
      </c>
      <c r="AJ586" s="6">
        <f>24/$AJ$3</f>
        <v>9.7165991902834009E-2</v>
      </c>
      <c r="AK586" s="7"/>
      <c r="AL586">
        <v>16</v>
      </c>
      <c r="AM586" s="6">
        <f>AL586/AL601</f>
        <v>7.3394495412844041E-2</v>
      </c>
      <c r="AN586" s="6">
        <f>16/$AN$3</f>
        <v>6.8965517241379309E-2</v>
      </c>
      <c r="AP586">
        <v>7</v>
      </c>
      <c r="AQ586" s="6">
        <f>AP586/AP601</f>
        <v>4.142011834319527E-2</v>
      </c>
      <c r="AR586" s="6">
        <f>7/$AR$3</f>
        <v>3.7634408602150539E-2</v>
      </c>
      <c r="AT586">
        <v>3</v>
      </c>
      <c r="AU586" s="6">
        <f>AT586/AT601</f>
        <v>2.564102564102564E-2</v>
      </c>
      <c r="AV586" s="6">
        <f>3/$AV$3</f>
        <v>2.4193548387096774E-2</v>
      </c>
      <c r="AX586">
        <v>27</v>
      </c>
      <c r="AY586" s="6">
        <f>AX586/AX601</f>
        <v>6.8354430379746839E-2</v>
      </c>
      <c r="AZ586" s="6">
        <f>27/$AZ$3</f>
        <v>6.2790697674418611E-2</v>
      </c>
      <c r="BB586">
        <v>31</v>
      </c>
      <c r="BC586" s="6">
        <f>BB586/BB601</f>
        <v>7.6543209876543214E-2</v>
      </c>
      <c r="BD586" s="6">
        <f>31/$BD$3</f>
        <v>7.2429906542056069E-2</v>
      </c>
      <c r="BF586">
        <v>19</v>
      </c>
      <c r="BG586" s="6">
        <f>BF586/BF601</f>
        <v>8.2608695652173908E-2</v>
      </c>
      <c r="BH586" s="6">
        <f>19/$BH$3</f>
        <v>7.8512396694214878E-2</v>
      </c>
      <c r="BJ586">
        <v>27</v>
      </c>
      <c r="BK586" s="6">
        <f>BJ586/BJ601</f>
        <v>7.2386058981233251E-2</v>
      </c>
      <c r="BL586" s="6">
        <f>27/$BL$3</f>
        <v>6.699751861042183E-2</v>
      </c>
      <c r="BN586">
        <v>30</v>
      </c>
      <c r="BO586" s="6">
        <f>BN586/BN601</f>
        <v>7.6335877862595422E-2</v>
      </c>
      <c r="BP586" s="6">
        <f>30/$BP$3</f>
        <v>7.0921985815602842E-2</v>
      </c>
      <c r="BR586">
        <v>20</v>
      </c>
      <c r="BS586" s="6">
        <f>BR586/BR601</f>
        <v>7.575757575757576E-2</v>
      </c>
      <c r="BT586" s="6">
        <f>20/$BT$3</f>
        <v>7.2992700729927001E-2</v>
      </c>
      <c r="BV586">
        <v>21</v>
      </c>
      <c r="BW586" s="6">
        <f>BV586/BV601</f>
        <v>7.3426573426573424E-2</v>
      </c>
      <c r="BX586" s="6">
        <f>21/$BX$3</f>
        <v>6.8852459016393447E-2</v>
      </c>
      <c r="BZ586">
        <v>21</v>
      </c>
      <c r="CA586" s="6">
        <f>BZ586/BZ601</f>
        <v>9.9526066350710901E-2</v>
      </c>
      <c r="CB586" s="6">
        <f>21/$CB$3</f>
        <v>9.375E-2</v>
      </c>
      <c r="CD586">
        <v>14</v>
      </c>
      <c r="CE586" s="6">
        <f>CD586/CD601</f>
        <v>6.2780269058295965E-2</v>
      </c>
      <c r="CF586" s="6">
        <f>14/$CF$3</f>
        <v>5.8091286307053944E-2</v>
      </c>
      <c r="CH586">
        <v>21</v>
      </c>
      <c r="CI586" s="6">
        <f>CH586/CH601</f>
        <v>6.7741935483870974E-2</v>
      </c>
      <c r="CJ586" s="6">
        <f>21/$CJ$3</f>
        <v>6.363636363636363E-2</v>
      </c>
    </row>
    <row r="587" spans="1:88" x14ac:dyDescent="0.35">
      <c r="A587" s="1" t="s">
        <v>1622</v>
      </c>
      <c r="B587">
        <v>61</v>
      </c>
      <c r="C587" s="6">
        <f>B587/B601</f>
        <v>5.9223300970873784E-2</v>
      </c>
      <c r="D587" s="6">
        <f>61/$D$3</f>
        <v>5.5454545454545458E-2</v>
      </c>
      <c r="F587">
        <v>56</v>
      </c>
      <c r="G587" s="6">
        <f>F587/F601</f>
        <v>6.4516129032258063E-2</v>
      </c>
      <c r="H587" s="6">
        <f>56/$H$3</f>
        <v>6.1470911086717893E-2</v>
      </c>
      <c r="J587">
        <v>39</v>
      </c>
      <c r="K587" s="6">
        <f>J587/J601</f>
        <v>9.285714285714286E-2</v>
      </c>
      <c r="L587" s="6">
        <f>39/$L$3</f>
        <v>8.9861751152073732E-2</v>
      </c>
      <c r="N587">
        <v>7</v>
      </c>
      <c r="O587" s="6">
        <f>N587/N601</f>
        <v>9.0909090909090912E-2</v>
      </c>
      <c r="P587" s="6">
        <f>7/$P$3</f>
        <v>8.6419753086419748E-2</v>
      </c>
      <c r="R587">
        <v>36</v>
      </c>
      <c r="S587" s="6">
        <f>R587/R601</f>
        <v>6.8702290076335881E-2</v>
      </c>
      <c r="T587" s="6">
        <f>36/$T$3</f>
        <v>6.4285714285714279E-2</v>
      </c>
      <c r="V587">
        <v>25</v>
      </c>
      <c r="W587" s="6">
        <f>V587/V601</f>
        <v>4.9407114624505928E-2</v>
      </c>
      <c r="X587" s="6">
        <f>25/$X$3</f>
        <v>4.6296296296296294E-2</v>
      </c>
      <c r="Z587">
        <v>13</v>
      </c>
      <c r="AA587" s="6">
        <f>Z587/Z601</f>
        <v>0.12264150943396226</v>
      </c>
      <c r="AB587" s="6">
        <f>13/$AB$3</f>
        <v>0.11504424778761062</v>
      </c>
      <c r="AC587" s="7"/>
      <c r="AD587">
        <v>12</v>
      </c>
      <c r="AE587" s="6">
        <f>AD587/AD601</f>
        <v>6.3829787234042548E-2</v>
      </c>
      <c r="AF587" s="6">
        <f>12/$AF$3</f>
        <v>6.0606060606060608E-2</v>
      </c>
      <c r="AH587">
        <v>17</v>
      </c>
      <c r="AI587" s="6">
        <f>AH587/AH601</f>
        <v>7.3275862068965511E-2</v>
      </c>
      <c r="AJ587" s="6">
        <f>17/$AJ$3</f>
        <v>6.8825910931174086E-2</v>
      </c>
      <c r="AL587">
        <v>10</v>
      </c>
      <c r="AM587" s="6">
        <f>AL587/AL601</f>
        <v>4.5871559633027525E-2</v>
      </c>
      <c r="AN587" s="6">
        <f>10/$AN$3</f>
        <v>4.3103448275862072E-2</v>
      </c>
      <c r="AP587">
        <v>6</v>
      </c>
      <c r="AQ587" s="6">
        <f>AP587/AP601</f>
        <v>3.5502958579881658E-2</v>
      </c>
      <c r="AR587" s="6">
        <f>6/$AR$3</f>
        <v>3.2258064516129031E-2</v>
      </c>
      <c r="AT587">
        <v>3</v>
      </c>
      <c r="AU587" s="6">
        <f>AT587/AT601</f>
        <v>2.564102564102564E-2</v>
      </c>
      <c r="AV587" s="6">
        <f>3/$AV$3</f>
        <v>2.4193548387096774E-2</v>
      </c>
      <c r="AX587">
        <v>24</v>
      </c>
      <c r="AY587" s="6">
        <f>AX587/AX601</f>
        <v>6.0759493670886074E-2</v>
      </c>
      <c r="AZ587" s="6">
        <f>24/$AZ$3</f>
        <v>5.5813953488372092E-2</v>
      </c>
      <c r="BB587">
        <v>20</v>
      </c>
      <c r="BC587" s="6">
        <f>BB587/BB601</f>
        <v>4.9382716049382713E-2</v>
      </c>
      <c r="BD587" s="6">
        <f>20/$BD$3</f>
        <v>4.6728971962616821E-2</v>
      </c>
      <c r="BF587">
        <v>17</v>
      </c>
      <c r="BG587" s="6">
        <f>BF587/BF601</f>
        <v>7.3913043478260873E-2</v>
      </c>
      <c r="BH587" s="6">
        <f>17/$BH$3</f>
        <v>7.0247933884297523E-2</v>
      </c>
      <c r="BJ587">
        <v>21</v>
      </c>
      <c r="BK587" s="6">
        <f>BJ587/BJ601</f>
        <v>5.6300268096514748E-2</v>
      </c>
      <c r="BL587" s="6">
        <f>21/$BL$3</f>
        <v>5.2109181141439205E-2</v>
      </c>
      <c r="BN587">
        <v>24</v>
      </c>
      <c r="BO587" s="6">
        <f>BN587/BN601</f>
        <v>6.1068702290076333E-2</v>
      </c>
      <c r="BP587" s="6">
        <f>24/$BP$3</f>
        <v>5.6737588652482268E-2</v>
      </c>
      <c r="BR587">
        <v>16</v>
      </c>
      <c r="BS587" s="6">
        <f>BR587/BR601</f>
        <v>6.0606060606060608E-2</v>
      </c>
      <c r="BT587" s="6">
        <f>16/$BT$3</f>
        <v>5.8394160583941604E-2</v>
      </c>
      <c r="BV587">
        <v>20</v>
      </c>
      <c r="BW587" s="6">
        <f>BV587/BV601</f>
        <v>6.9930069930069935E-2</v>
      </c>
      <c r="BX587" s="6">
        <f>20/$BX$3</f>
        <v>6.5573770491803282E-2</v>
      </c>
      <c r="BZ587">
        <v>15</v>
      </c>
      <c r="CA587" s="6">
        <f>BZ587/BZ601</f>
        <v>7.1090047393364927E-2</v>
      </c>
      <c r="CB587" s="6">
        <f>15/$CB$3</f>
        <v>6.6964285714285712E-2</v>
      </c>
      <c r="CD587">
        <v>10</v>
      </c>
      <c r="CE587" s="6">
        <f>CD587/CD601</f>
        <v>4.4843049327354258E-2</v>
      </c>
      <c r="CF587" s="6">
        <f>10/$CF$3</f>
        <v>4.1493775933609957E-2</v>
      </c>
      <c r="CH587">
        <v>16</v>
      </c>
      <c r="CI587" s="6">
        <f>CH587/CH601</f>
        <v>5.1612903225806452E-2</v>
      </c>
      <c r="CJ587" s="6">
        <f>16/$CJ$3</f>
        <v>4.8484848484848485E-2</v>
      </c>
    </row>
    <row r="588" spans="1:88" x14ac:dyDescent="0.35">
      <c r="A588" s="1" t="s">
        <v>1623</v>
      </c>
      <c r="B588">
        <v>43</v>
      </c>
      <c r="C588" s="6">
        <f>B588/B601</f>
        <v>4.1747572815533977E-2</v>
      </c>
      <c r="D588" s="6">
        <f>43/$D$3</f>
        <v>3.9090909090909093E-2</v>
      </c>
      <c r="F588">
        <v>42</v>
      </c>
      <c r="G588" s="6">
        <f>F588/F601</f>
        <v>4.8387096774193547E-2</v>
      </c>
      <c r="H588" s="6">
        <f>42/$H$3</f>
        <v>4.6103183315038418E-2</v>
      </c>
      <c r="J588">
        <v>30</v>
      </c>
      <c r="K588" s="6">
        <f>J588/J601</f>
        <v>7.1428571428571425E-2</v>
      </c>
      <c r="L588" s="6">
        <f>30/$L$3</f>
        <v>6.9124423963133647E-2</v>
      </c>
      <c r="N588">
        <v>2</v>
      </c>
      <c r="O588" s="6">
        <f>N588/N601</f>
        <v>2.5974025974025976E-2</v>
      </c>
      <c r="P588" s="6">
        <f>2/$P$3</f>
        <v>2.4691358024691357E-2</v>
      </c>
      <c r="R588">
        <v>26</v>
      </c>
      <c r="S588" s="6">
        <f>R588/R601</f>
        <v>4.9618320610687022E-2</v>
      </c>
      <c r="T588" s="6">
        <f>26/$T$3</f>
        <v>4.642857142857143E-2</v>
      </c>
      <c r="V588">
        <v>17</v>
      </c>
      <c r="W588" s="6">
        <f>V588/V601</f>
        <v>3.3596837944664032E-2</v>
      </c>
      <c r="X588" s="6">
        <f>17/$X$3</f>
        <v>3.1481481481481478E-2</v>
      </c>
      <c r="Z588">
        <v>4</v>
      </c>
      <c r="AA588" s="6">
        <f>Z588/Z601</f>
        <v>3.7735849056603772E-2</v>
      </c>
      <c r="AB588" s="6">
        <f>4/$AB$3</f>
        <v>3.5398230088495575E-2</v>
      </c>
      <c r="AD588">
        <v>12</v>
      </c>
      <c r="AE588" s="6">
        <f>AD588/AD601</f>
        <v>6.3829787234042548E-2</v>
      </c>
      <c r="AF588" s="6">
        <f>12/$AF$3</f>
        <v>6.0606060606060608E-2</v>
      </c>
      <c r="AH588">
        <v>14</v>
      </c>
      <c r="AI588" s="6">
        <f>AH588/AH601</f>
        <v>6.0344827586206899E-2</v>
      </c>
      <c r="AJ588" s="6">
        <f>14/$AJ$3</f>
        <v>5.6680161943319839E-2</v>
      </c>
      <c r="AL588">
        <v>5</v>
      </c>
      <c r="AM588" s="6">
        <f>AL588/AL601</f>
        <v>2.2935779816513763E-2</v>
      </c>
      <c r="AN588" s="6">
        <f>5/$AN$3</f>
        <v>2.1551724137931036E-2</v>
      </c>
      <c r="AP588">
        <v>3</v>
      </c>
      <c r="AQ588" s="6">
        <f>AP588/AP601</f>
        <v>1.7751479289940829E-2</v>
      </c>
      <c r="AR588" s="6">
        <f>3/$AR$3</f>
        <v>1.6129032258064516E-2</v>
      </c>
      <c r="AT588">
        <v>5</v>
      </c>
      <c r="AU588" s="6">
        <f>AT588/AT601</f>
        <v>4.2735042735042736E-2</v>
      </c>
      <c r="AV588" s="6">
        <f>5/$AV$3</f>
        <v>4.0322580645161289E-2</v>
      </c>
      <c r="AX588">
        <v>13</v>
      </c>
      <c r="AY588" s="6">
        <f>AX588/AX601</f>
        <v>3.2911392405063293E-2</v>
      </c>
      <c r="AZ588" s="6">
        <f>13/$AZ$3</f>
        <v>3.0232558139534883E-2</v>
      </c>
      <c r="BB588">
        <v>15</v>
      </c>
      <c r="BC588" s="6">
        <f>BB588/BB601</f>
        <v>3.7037037037037035E-2</v>
      </c>
      <c r="BD588" s="6">
        <f>15/$BD$3</f>
        <v>3.5046728971962614E-2</v>
      </c>
      <c r="BF588">
        <v>15</v>
      </c>
      <c r="BG588" s="6">
        <f>BF588/BF601</f>
        <v>6.5217391304347824E-2</v>
      </c>
      <c r="BH588" s="6">
        <f>15/$BH$3</f>
        <v>6.1983471074380167E-2</v>
      </c>
      <c r="BJ588">
        <v>16</v>
      </c>
      <c r="BK588" s="6">
        <f>BJ588/BJ601</f>
        <v>4.2895442359249331E-2</v>
      </c>
      <c r="BL588" s="6">
        <f>16/$BL$3</f>
        <v>3.9702233250620347E-2</v>
      </c>
      <c r="BN588">
        <v>17</v>
      </c>
      <c r="BO588" s="6">
        <f>BN588/BN601</f>
        <v>4.3256997455470736E-2</v>
      </c>
      <c r="BP588" s="6">
        <f>17/$BP$3</f>
        <v>4.0189125295508277E-2</v>
      </c>
      <c r="BR588">
        <v>10</v>
      </c>
      <c r="BS588" s="6">
        <f>BR588/BR601</f>
        <v>3.787878787878788E-2</v>
      </c>
      <c r="BT588" s="6">
        <f>10/$BT$3</f>
        <v>3.6496350364963501E-2</v>
      </c>
      <c r="BV588">
        <v>12</v>
      </c>
      <c r="BW588" s="6">
        <f>BV588/BV601</f>
        <v>4.195804195804196E-2</v>
      </c>
      <c r="BX588" s="6">
        <f>12/$BX$3</f>
        <v>3.9344262295081971E-2</v>
      </c>
      <c r="BZ588">
        <v>7</v>
      </c>
      <c r="CA588" s="6">
        <f>BZ588/BZ601</f>
        <v>3.3175355450236969E-2</v>
      </c>
      <c r="CB588" s="6">
        <f>7/$CB$3</f>
        <v>3.125E-2</v>
      </c>
      <c r="CD588">
        <v>11</v>
      </c>
      <c r="CE588" s="6">
        <f>CD588/CD601</f>
        <v>4.9327354260089683E-2</v>
      </c>
      <c r="CF588" s="6">
        <f>11/$CF$3</f>
        <v>4.5643153526970952E-2</v>
      </c>
      <c r="CH588">
        <v>13</v>
      </c>
      <c r="CI588" s="6">
        <f>CH588/CH601</f>
        <v>4.1935483870967745E-2</v>
      </c>
      <c r="CJ588" s="6">
        <f>13/$CJ$3</f>
        <v>3.9393939393939391E-2</v>
      </c>
    </row>
    <row r="589" spans="1:88" x14ac:dyDescent="0.35">
      <c r="A589" s="1" t="s">
        <v>1624</v>
      </c>
      <c r="B589">
        <v>39</v>
      </c>
      <c r="C589" s="6">
        <f>B589/B601</f>
        <v>3.7864077669902914E-2</v>
      </c>
      <c r="D589" s="6">
        <f>39/$D$3</f>
        <v>3.5454545454545454E-2</v>
      </c>
      <c r="F589">
        <v>32</v>
      </c>
      <c r="G589" s="6">
        <f>F589/F601</f>
        <v>3.6866359447004608E-2</v>
      </c>
      <c r="H589" s="6">
        <f>32/$H$3</f>
        <v>3.512623490669594E-2</v>
      </c>
      <c r="J589">
        <v>14</v>
      </c>
      <c r="K589" s="6">
        <f>J589/J601</f>
        <v>3.3333333333333333E-2</v>
      </c>
      <c r="L589" s="6">
        <f>14/$L$3</f>
        <v>3.2258064516129031E-2</v>
      </c>
      <c r="N589">
        <v>8</v>
      </c>
      <c r="O589" s="6">
        <f>N589/N601</f>
        <v>0.1038961038961039</v>
      </c>
      <c r="P589" s="6">
        <f>8/$P$3</f>
        <v>9.8765432098765427E-2</v>
      </c>
      <c r="R589">
        <v>19</v>
      </c>
      <c r="S589" s="6">
        <f>R589/R601</f>
        <v>3.6259541984732822E-2</v>
      </c>
      <c r="T589" s="6">
        <f>19/$T$3</f>
        <v>3.3928571428571426E-2</v>
      </c>
      <c r="V589">
        <v>20</v>
      </c>
      <c r="W589" s="6">
        <f>V589/V601</f>
        <v>3.9525691699604744E-2</v>
      </c>
      <c r="X589" s="6">
        <f>20/$X$3</f>
        <v>3.7037037037037035E-2</v>
      </c>
      <c r="Z589">
        <v>8</v>
      </c>
      <c r="AA589" s="6">
        <f>Z589/Z601</f>
        <v>7.5471698113207544E-2</v>
      </c>
      <c r="AB589" s="6">
        <f>8/$AB$3</f>
        <v>7.0796460176991149E-2</v>
      </c>
      <c r="AD589">
        <v>8</v>
      </c>
      <c r="AE589" s="6">
        <f>AD589/AD601</f>
        <v>4.2553191489361701E-2</v>
      </c>
      <c r="AF589" s="6">
        <f>8/$AF$3</f>
        <v>4.0404040404040407E-2</v>
      </c>
      <c r="AH589">
        <v>6</v>
      </c>
      <c r="AI589" s="6">
        <f>AH589/AH601</f>
        <v>2.5862068965517241E-2</v>
      </c>
      <c r="AJ589" s="6">
        <f>6/$AJ$3</f>
        <v>2.4291497975708502E-2</v>
      </c>
      <c r="AL589">
        <v>9</v>
      </c>
      <c r="AM589" s="6">
        <f>AL589/AL601</f>
        <v>4.1284403669724773E-2</v>
      </c>
      <c r="AN589" s="6">
        <f>9/$AN$3</f>
        <v>3.8793103448275863E-2</v>
      </c>
      <c r="AP589">
        <v>4</v>
      </c>
      <c r="AQ589" s="6">
        <f>AP589/AP601</f>
        <v>2.3668639053254437E-2</v>
      </c>
      <c r="AR589" s="6">
        <f>4/$AR$3</f>
        <v>2.1505376344086023E-2</v>
      </c>
      <c r="AT589">
        <v>4</v>
      </c>
      <c r="AU589" s="6">
        <f>AT589/AT601</f>
        <v>3.4188034188034191E-2</v>
      </c>
      <c r="AV589" s="6">
        <f>4/$AV$3</f>
        <v>3.2258064516129031E-2</v>
      </c>
      <c r="AX589">
        <v>18</v>
      </c>
      <c r="AY589" s="6">
        <f>AX589/AX601</f>
        <v>4.5569620253164557E-2</v>
      </c>
      <c r="AZ589" s="6">
        <f>18/$AZ$3</f>
        <v>4.1860465116279069E-2</v>
      </c>
      <c r="BB589">
        <v>12</v>
      </c>
      <c r="BC589" s="6">
        <f>BB589/BB601</f>
        <v>2.9629629629629631E-2</v>
      </c>
      <c r="BD589" s="6">
        <f>12/$BD$3</f>
        <v>2.8037383177570093E-2</v>
      </c>
      <c r="BF589">
        <v>9</v>
      </c>
      <c r="BG589" s="6">
        <f>BF589/BF601</f>
        <v>3.9130434782608699E-2</v>
      </c>
      <c r="BH589" s="6">
        <f>9/$BH$3</f>
        <v>3.71900826446281E-2</v>
      </c>
      <c r="BJ589">
        <v>14</v>
      </c>
      <c r="BK589" s="6">
        <f>BJ589/BJ601</f>
        <v>3.7533512064343161E-2</v>
      </c>
      <c r="BL589" s="6">
        <f>14/$BL$3</f>
        <v>3.4739454094292806E-2</v>
      </c>
      <c r="BN589">
        <v>18</v>
      </c>
      <c r="BO589" s="6">
        <f>BN589/BN601</f>
        <v>4.5801526717557252E-2</v>
      </c>
      <c r="BP589" s="6">
        <f>18/$BP$3</f>
        <v>4.2553191489361701E-2</v>
      </c>
      <c r="BR589">
        <v>7</v>
      </c>
      <c r="BS589" s="6">
        <f>BR589/BR601</f>
        <v>2.6515151515151516E-2</v>
      </c>
      <c r="BT589" s="6">
        <f>7/$BT$3</f>
        <v>2.5547445255474453E-2</v>
      </c>
      <c r="BV589">
        <v>11</v>
      </c>
      <c r="BW589" s="6">
        <f>BV589/BV601</f>
        <v>3.8461538461538464E-2</v>
      </c>
      <c r="BX589" s="6">
        <f>11/$BX$3</f>
        <v>3.6065573770491806E-2</v>
      </c>
      <c r="BZ589">
        <v>7</v>
      </c>
      <c r="CA589" s="6">
        <f>BZ589/BZ601</f>
        <v>3.3175355450236969E-2</v>
      </c>
      <c r="CB589" s="6">
        <f>7/$CB$3</f>
        <v>3.125E-2</v>
      </c>
      <c r="CD589">
        <v>10</v>
      </c>
      <c r="CE589" s="6">
        <f>CD589/CD601</f>
        <v>4.4843049327354258E-2</v>
      </c>
      <c r="CF589" s="6">
        <f>10/$CF$3</f>
        <v>4.1493775933609957E-2</v>
      </c>
      <c r="CH589">
        <v>11</v>
      </c>
      <c r="CI589" s="6">
        <f>CH589/CH601</f>
        <v>3.5483870967741936E-2</v>
      </c>
      <c r="CJ589" s="6">
        <f>11/$CJ$3</f>
        <v>3.3333333333333333E-2</v>
      </c>
    </row>
    <row r="591" spans="1:88" x14ac:dyDescent="0.35">
      <c r="A591" s="1" t="s">
        <v>1625</v>
      </c>
      <c r="B591">
        <v>535</v>
      </c>
      <c r="C591" s="6">
        <f>B591/B601</f>
        <v>0.51941747572815533</v>
      </c>
      <c r="D591" s="6">
        <f>535/$D$3</f>
        <v>0.48636363636363639</v>
      </c>
      <c r="F591">
        <v>422</v>
      </c>
      <c r="G591" s="6">
        <f>F591/F601</f>
        <v>0.48617511520737328</v>
      </c>
      <c r="H591" s="6">
        <f>422/$H$3</f>
        <v>0.4632272228320527</v>
      </c>
      <c r="J591">
        <v>173</v>
      </c>
      <c r="K591" s="6">
        <f>J591/J601</f>
        <v>0.41190476190476188</v>
      </c>
      <c r="L591" s="8">
        <f>173/$L$3</f>
        <v>0.39861751152073732</v>
      </c>
      <c r="N591">
        <v>30</v>
      </c>
      <c r="O591" s="6">
        <f>N591/N601</f>
        <v>0.38961038961038963</v>
      </c>
      <c r="P591" s="8">
        <f>30/$P$3</f>
        <v>0.37037037037037035</v>
      </c>
      <c r="R591">
        <v>275</v>
      </c>
      <c r="S591" s="6">
        <f>R591/R601</f>
        <v>0.52480916030534353</v>
      </c>
      <c r="T591" s="6">
        <f>275/$T$3</f>
        <v>0.49107142857142855</v>
      </c>
      <c r="V591">
        <v>260</v>
      </c>
      <c r="W591" s="6">
        <f>V591/V601</f>
        <v>0.51383399209486169</v>
      </c>
      <c r="X591" s="6">
        <f>260/$X$3</f>
        <v>0.48148148148148145</v>
      </c>
      <c r="Z591">
        <v>29</v>
      </c>
      <c r="AA591" s="6">
        <f>Z591/Z601</f>
        <v>0.27358490566037735</v>
      </c>
      <c r="AB591" s="8">
        <f>29/$AB$3</f>
        <v>0.25663716814159293</v>
      </c>
      <c r="AD591">
        <v>92</v>
      </c>
      <c r="AE591" s="6">
        <f>AD591/AD601</f>
        <v>0.48936170212765956</v>
      </c>
      <c r="AF591" s="6">
        <f>92/$AF$3</f>
        <v>0.46464646464646464</v>
      </c>
      <c r="AG591" s="7"/>
      <c r="AH591">
        <v>114</v>
      </c>
      <c r="AI591" s="6">
        <f>AH591/AH601</f>
        <v>0.49137931034482757</v>
      </c>
      <c r="AJ591" s="6">
        <f>114/$AJ$3</f>
        <v>0.46153846153846156</v>
      </c>
      <c r="AK591" s="7"/>
      <c r="AL591">
        <v>115</v>
      </c>
      <c r="AM591" s="6">
        <f>AL591/AL601</f>
        <v>0.52752293577981646</v>
      </c>
      <c r="AN591" s="6">
        <f>115/$AN$3</f>
        <v>0.49568965517241381</v>
      </c>
      <c r="AO591" s="7"/>
      <c r="AP591">
        <v>107</v>
      </c>
      <c r="AQ591" s="6">
        <f>AP591/AP601</f>
        <v>0.63313609467455623</v>
      </c>
      <c r="AR591" s="9">
        <f>107/$AR$3</f>
        <v>0.57526881720430112</v>
      </c>
      <c r="AS591" s="7"/>
      <c r="AT591">
        <v>78</v>
      </c>
      <c r="AU591" s="6">
        <f>AT591/AT601</f>
        <v>0.66666666666666663</v>
      </c>
      <c r="AV591" s="9">
        <f>78/$AV$3</f>
        <v>0.62903225806451613</v>
      </c>
      <c r="AW591" s="7"/>
      <c r="AX591">
        <v>180</v>
      </c>
      <c r="AY591" s="6">
        <f>AX591/AX601</f>
        <v>0.45569620253164556</v>
      </c>
      <c r="AZ591" s="8">
        <f>180/$AZ$3</f>
        <v>0.41860465116279072</v>
      </c>
      <c r="BB591">
        <v>214</v>
      </c>
      <c r="BC591" s="6">
        <f>BB591/BB601</f>
        <v>0.52839506172839501</v>
      </c>
      <c r="BD591" s="6">
        <f>214/$BD$3</f>
        <v>0.5</v>
      </c>
      <c r="BF591">
        <v>141</v>
      </c>
      <c r="BG591" s="6">
        <f>BF591/BF601</f>
        <v>0.61304347826086958</v>
      </c>
      <c r="BH591" s="9">
        <f>141/$BH$3</f>
        <v>0.5826446280991735</v>
      </c>
      <c r="BI591" s="7" t="s">
        <v>3</v>
      </c>
      <c r="BJ591">
        <v>180</v>
      </c>
      <c r="BK591" s="6">
        <f>BJ591/BJ601</f>
        <v>0.48257372654155495</v>
      </c>
      <c r="BL591" s="6">
        <f>180/$BL$3</f>
        <v>0.4466501240694789</v>
      </c>
      <c r="BN591">
        <v>205</v>
      </c>
      <c r="BO591" s="6">
        <f>BN591/BN601</f>
        <v>0.52162849872773542</v>
      </c>
      <c r="BP591" s="6">
        <f>205/$BP$3</f>
        <v>0.4846335697399527</v>
      </c>
      <c r="BR591">
        <v>150</v>
      </c>
      <c r="BS591" s="6">
        <f>BR591/BR601</f>
        <v>0.56818181818181823</v>
      </c>
      <c r="BT591" s="9">
        <f>150/$BT$3</f>
        <v>0.54744525547445255</v>
      </c>
      <c r="BV591">
        <v>148</v>
      </c>
      <c r="BW591" s="6">
        <f>BV591/BV601</f>
        <v>0.5174825174825175</v>
      </c>
      <c r="BX591" s="6">
        <f>148/$BX$3</f>
        <v>0.48524590163934428</v>
      </c>
      <c r="BZ591">
        <v>107</v>
      </c>
      <c r="CA591" s="6">
        <f>BZ591/BZ601</f>
        <v>0.50710900473933651</v>
      </c>
      <c r="CB591" s="6">
        <f>107/$CB$3</f>
        <v>0.47767857142857145</v>
      </c>
      <c r="CD591">
        <v>113</v>
      </c>
      <c r="CE591" s="6">
        <f>CD591/CD601</f>
        <v>0.50672645739910316</v>
      </c>
      <c r="CF591" s="6">
        <f>113/$CF$3</f>
        <v>0.46887966804979253</v>
      </c>
      <c r="CH591">
        <v>167</v>
      </c>
      <c r="CI591" s="6">
        <f>CH591/CH601</f>
        <v>0.53870967741935483</v>
      </c>
      <c r="CJ591" s="6">
        <f>167/$CJ$3</f>
        <v>0.5060606060606061</v>
      </c>
    </row>
    <row r="592" spans="1:88" x14ac:dyDescent="0.35">
      <c r="A592" s="1" t="s">
        <v>1626</v>
      </c>
      <c r="B592">
        <v>253</v>
      </c>
      <c r="C592" s="6">
        <f>B592/B601</f>
        <v>0.24563106796116504</v>
      </c>
      <c r="D592" s="6">
        <f>253/$D$3</f>
        <v>0.23</v>
      </c>
      <c r="F592">
        <v>184</v>
      </c>
      <c r="G592" s="6">
        <f>F592/F601</f>
        <v>0.2119815668202765</v>
      </c>
      <c r="H592" s="6">
        <f>184/$H$3</f>
        <v>0.20197585071350166</v>
      </c>
      <c r="J592">
        <v>66</v>
      </c>
      <c r="K592" s="6">
        <f>J592/J601</f>
        <v>0.15714285714285714</v>
      </c>
      <c r="L592" s="8">
        <f>66/$L$3</f>
        <v>0.15207373271889402</v>
      </c>
      <c r="N592">
        <v>15</v>
      </c>
      <c r="O592" s="6">
        <f>N592/N601</f>
        <v>0.19480519480519481</v>
      </c>
      <c r="P592" s="6">
        <f>15/$P$3</f>
        <v>0.18518518518518517</v>
      </c>
      <c r="R592">
        <v>117</v>
      </c>
      <c r="S592" s="6">
        <f>R592/R601</f>
        <v>0.22328244274809161</v>
      </c>
      <c r="T592" s="6">
        <f>117/$T$3</f>
        <v>0.20892857142857144</v>
      </c>
      <c r="V592">
        <v>136</v>
      </c>
      <c r="W592" s="6">
        <f>V592/V601</f>
        <v>0.26877470355731226</v>
      </c>
      <c r="X592" s="6">
        <f>136/$X$3</f>
        <v>0.25185185185185183</v>
      </c>
      <c r="Z592">
        <v>14</v>
      </c>
      <c r="AA592" s="6">
        <f>Z592/Z601</f>
        <v>0.13207547169811321</v>
      </c>
      <c r="AB592" s="8">
        <f>14/$AB$3</f>
        <v>0.12389380530973451</v>
      </c>
      <c r="AD592">
        <v>42</v>
      </c>
      <c r="AE592" s="6">
        <f>AD592/AD601</f>
        <v>0.22340425531914893</v>
      </c>
      <c r="AF592" s="6">
        <f>42/$AF$3</f>
        <v>0.21212121212121213</v>
      </c>
      <c r="AH592">
        <v>56</v>
      </c>
      <c r="AI592" s="6">
        <f>AH592/AH601</f>
        <v>0.2413793103448276</v>
      </c>
      <c r="AJ592" s="6">
        <f>56/$AJ$3</f>
        <v>0.22672064777327935</v>
      </c>
      <c r="AL592">
        <v>51</v>
      </c>
      <c r="AM592" s="6">
        <f>AL592/AL601</f>
        <v>0.23394495412844038</v>
      </c>
      <c r="AN592" s="6">
        <f>51/$AN$3</f>
        <v>0.21982758620689655</v>
      </c>
      <c r="AP592">
        <v>53</v>
      </c>
      <c r="AQ592" s="6">
        <f>AP592/AP601</f>
        <v>0.31360946745562129</v>
      </c>
      <c r="AR592" s="6">
        <f>53/$AR$3</f>
        <v>0.28494623655913981</v>
      </c>
      <c r="AS592" s="7"/>
      <c r="AT592">
        <v>37</v>
      </c>
      <c r="AU592" s="6">
        <f>AT592/AT601</f>
        <v>0.31623931623931623</v>
      </c>
      <c r="AV592" s="6">
        <f>37/$AV$3</f>
        <v>0.29838709677419356</v>
      </c>
      <c r="AW592" s="7"/>
      <c r="AX592">
        <v>87</v>
      </c>
      <c r="AY592" s="6">
        <f>AX592/AX601</f>
        <v>0.22025316455696203</v>
      </c>
      <c r="AZ592" s="6">
        <f>87/$AZ$3</f>
        <v>0.20232558139534884</v>
      </c>
      <c r="BB592">
        <v>93</v>
      </c>
      <c r="BC592" s="6">
        <f>BB592/BB601</f>
        <v>0.22962962962962963</v>
      </c>
      <c r="BD592" s="6">
        <f>93/$BD$3</f>
        <v>0.21728971962616822</v>
      </c>
      <c r="BF592">
        <v>73</v>
      </c>
      <c r="BG592" s="6">
        <f>BF592/BF601</f>
        <v>0.31739130434782609</v>
      </c>
      <c r="BH592" s="9">
        <f>73/$BH$3</f>
        <v>0.30165289256198347</v>
      </c>
      <c r="BI592" s="7" t="s">
        <v>3</v>
      </c>
      <c r="BJ592">
        <v>91</v>
      </c>
      <c r="BK592" s="6">
        <f>BJ592/BJ601</f>
        <v>0.24396782841823056</v>
      </c>
      <c r="BL592" s="6">
        <f>91/$BL$3</f>
        <v>0.22580645161290322</v>
      </c>
      <c r="BN592">
        <v>98</v>
      </c>
      <c r="BO592" s="6">
        <f>BN592/BN601</f>
        <v>0.24936386768447838</v>
      </c>
      <c r="BP592" s="6">
        <f>98/$BP$3</f>
        <v>0.23167848699763594</v>
      </c>
      <c r="BR592">
        <v>64</v>
      </c>
      <c r="BS592" s="6">
        <f>BR592/BR601</f>
        <v>0.24242424242424243</v>
      </c>
      <c r="BT592" s="6">
        <f>64/$BT$3</f>
        <v>0.23357664233576642</v>
      </c>
      <c r="BV592">
        <v>69</v>
      </c>
      <c r="BW592" s="6">
        <f>BV592/BV601</f>
        <v>0.24125874125874125</v>
      </c>
      <c r="BX592" s="6">
        <f>69/$BX$3</f>
        <v>0.2262295081967213</v>
      </c>
      <c r="BZ592">
        <v>50</v>
      </c>
      <c r="CA592" s="6">
        <f>BZ592/BZ601</f>
        <v>0.23696682464454977</v>
      </c>
      <c r="CB592" s="6">
        <f>50/$CB$3</f>
        <v>0.22321428571428573</v>
      </c>
      <c r="CD592">
        <v>51</v>
      </c>
      <c r="CE592" s="6">
        <f>CD592/CD601</f>
        <v>0.22869955156950672</v>
      </c>
      <c r="CF592" s="6">
        <f>51/$CF$3</f>
        <v>0.21161825726141079</v>
      </c>
      <c r="CH592">
        <v>83</v>
      </c>
      <c r="CI592" s="6">
        <f>CH592/CH601</f>
        <v>0.26774193548387099</v>
      </c>
      <c r="CJ592" s="6">
        <f>83/$CJ$3</f>
        <v>0.25151515151515152</v>
      </c>
    </row>
    <row r="593" spans="1:89" x14ac:dyDescent="0.35">
      <c r="A593" s="1" t="s">
        <v>1627</v>
      </c>
      <c r="B593">
        <v>241</v>
      </c>
      <c r="C593" s="6">
        <f>B593/B601</f>
        <v>0.23398058252427184</v>
      </c>
      <c r="D593" s="6">
        <f>241/$D$3</f>
        <v>0.21909090909090909</v>
      </c>
      <c r="F593">
        <v>168</v>
      </c>
      <c r="G593" s="6">
        <f>F593/F601</f>
        <v>0.19354838709677419</v>
      </c>
      <c r="H593" s="6">
        <f>168/$H$3</f>
        <v>0.18441273326015367</v>
      </c>
      <c r="J593">
        <v>66</v>
      </c>
      <c r="K593" s="6">
        <f>J593/J601</f>
        <v>0.15714285714285714</v>
      </c>
      <c r="L593" s="8">
        <f>66/$L$3</f>
        <v>0.15207373271889402</v>
      </c>
      <c r="N593">
        <v>13</v>
      </c>
      <c r="O593" s="6">
        <f>N593/N601</f>
        <v>0.16883116883116883</v>
      </c>
      <c r="P593" s="6">
        <f>13/$P$3</f>
        <v>0.16049382716049382</v>
      </c>
      <c r="R593">
        <v>129</v>
      </c>
      <c r="S593" s="6">
        <f>R593/R601</f>
        <v>0.24618320610687022</v>
      </c>
      <c r="T593" s="6">
        <f>129/$T$3</f>
        <v>0.23035714285714284</v>
      </c>
      <c r="V593">
        <v>112</v>
      </c>
      <c r="W593" s="6">
        <f>V593/V601</f>
        <v>0.22134387351778656</v>
      </c>
      <c r="X593" s="6">
        <f>112/$X$3</f>
        <v>0.2074074074074074</v>
      </c>
      <c r="Z593">
        <v>23</v>
      </c>
      <c r="AA593" s="6">
        <f>Z593/Z601</f>
        <v>0.21698113207547171</v>
      </c>
      <c r="AB593" s="6">
        <f>23/$AB$3</f>
        <v>0.20353982300884957</v>
      </c>
      <c r="AD593">
        <v>36</v>
      </c>
      <c r="AE593" s="6">
        <f>AD593/AD601</f>
        <v>0.19148936170212766</v>
      </c>
      <c r="AF593" s="6">
        <f>36/$AF$3</f>
        <v>0.18181818181818182</v>
      </c>
      <c r="AH593">
        <v>57</v>
      </c>
      <c r="AI593" s="6">
        <f>AH593/AH601</f>
        <v>0.24568965517241378</v>
      </c>
      <c r="AJ593" s="6">
        <f>57/$AJ$3</f>
        <v>0.23076923076923078</v>
      </c>
      <c r="AL593">
        <v>43</v>
      </c>
      <c r="AM593" s="6">
        <f>AL593/AL601</f>
        <v>0.19724770642201836</v>
      </c>
      <c r="AN593" s="6">
        <f>43/$AN$3</f>
        <v>0.18534482758620691</v>
      </c>
      <c r="AP593">
        <v>50</v>
      </c>
      <c r="AQ593" s="6">
        <f>AP593/AP601</f>
        <v>0.29585798816568049</v>
      </c>
      <c r="AR593" s="6">
        <f>50/$AR$3</f>
        <v>0.26881720430107525</v>
      </c>
      <c r="AT593">
        <v>32</v>
      </c>
      <c r="AU593" s="6">
        <f>AT593/AT601</f>
        <v>0.27350427350427353</v>
      </c>
      <c r="AV593" s="6">
        <f>32/$AV$3</f>
        <v>0.25806451612903225</v>
      </c>
      <c r="AX593">
        <v>82</v>
      </c>
      <c r="AY593" s="6">
        <f>AX593/AX601</f>
        <v>0.20759493670886076</v>
      </c>
      <c r="AZ593" s="6">
        <f>82/$AZ$3</f>
        <v>0.19069767441860466</v>
      </c>
      <c r="BB593">
        <v>95</v>
      </c>
      <c r="BC593" s="6">
        <f>BB593/BB601</f>
        <v>0.23456790123456789</v>
      </c>
      <c r="BD593" s="6">
        <f>95/$BD$3</f>
        <v>0.2219626168224299</v>
      </c>
      <c r="BF593">
        <v>64</v>
      </c>
      <c r="BG593" s="6">
        <f>BF593/BF601</f>
        <v>0.27826086956521739</v>
      </c>
      <c r="BH593" s="6">
        <f>64/$BH$3</f>
        <v>0.26446280991735538</v>
      </c>
      <c r="BJ593">
        <v>85</v>
      </c>
      <c r="BK593" s="6">
        <f>BJ593/BJ601</f>
        <v>0.22788203753351208</v>
      </c>
      <c r="BL593" s="6">
        <f>85/$BL$3</f>
        <v>0.21091811414392059</v>
      </c>
      <c r="BN593">
        <v>93</v>
      </c>
      <c r="BO593" s="6">
        <f>BN593/BN601</f>
        <v>0.23664122137404581</v>
      </c>
      <c r="BP593" s="6">
        <f>93/$BP$3</f>
        <v>0.21985815602836881</v>
      </c>
      <c r="BR593">
        <v>63</v>
      </c>
      <c r="BS593" s="6">
        <f>BR593/BR601</f>
        <v>0.23863636363636365</v>
      </c>
      <c r="BT593" s="6">
        <f>63/$BT$3</f>
        <v>0.22992700729927007</v>
      </c>
      <c r="BV593">
        <v>74</v>
      </c>
      <c r="BW593" s="6">
        <f>BV593/BV601</f>
        <v>0.25874125874125875</v>
      </c>
      <c r="BX593" s="6">
        <f>74/$BX$3</f>
        <v>0.24262295081967214</v>
      </c>
      <c r="BZ593">
        <v>45</v>
      </c>
      <c r="CA593" s="6">
        <f>BZ593/BZ601</f>
        <v>0.2132701421800948</v>
      </c>
      <c r="CB593" s="6">
        <f>45/$CB$3</f>
        <v>0.20089285714285715</v>
      </c>
      <c r="CD593">
        <v>48</v>
      </c>
      <c r="CE593" s="6">
        <f>CD593/CD601</f>
        <v>0.21524663677130046</v>
      </c>
      <c r="CF593" s="6">
        <f>48/$CF$3</f>
        <v>0.19917012448132779</v>
      </c>
      <c r="CH593">
        <v>74</v>
      </c>
      <c r="CI593" s="6">
        <f>CH593/CH601</f>
        <v>0.23870967741935484</v>
      </c>
      <c r="CJ593" s="6">
        <f>74/$CJ$3</f>
        <v>0.22424242424242424</v>
      </c>
    </row>
    <row r="594" spans="1:89" x14ac:dyDescent="0.35">
      <c r="A594" s="1" t="s">
        <v>1628</v>
      </c>
      <c r="B594">
        <v>308</v>
      </c>
      <c r="C594" s="6">
        <f>B594/B601</f>
        <v>0.29902912621359223</v>
      </c>
      <c r="D594" s="6">
        <f>308/$D$3</f>
        <v>0.28000000000000003</v>
      </c>
      <c r="F594">
        <v>230</v>
      </c>
      <c r="G594" s="6">
        <f>F594/F601</f>
        <v>0.26497695852534564</v>
      </c>
      <c r="H594" s="6">
        <f>230/$H$3</f>
        <v>0.25246981339187707</v>
      </c>
      <c r="J594">
        <v>96</v>
      </c>
      <c r="K594" s="6">
        <f>J594/J601</f>
        <v>0.22857142857142856</v>
      </c>
      <c r="L594" s="8">
        <f>96/$L$3</f>
        <v>0.22119815668202766</v>
      </c>
      <c r="N594">
        <v>16</v>
      </c>
      <c r="O594" s="6">
        <f>N594/N601</f>
        <v>0.20779220779220781</v>
      </c>
      <c r="P594" s="6">
        <f>16/$P$3</f>
        <v>0.19753086419753085</v>
      </c>
      <c r="R594">
        <v>157</v>
      </c>
      <c r="S594" s="6">
        <f>R594/R601</f>
        <v>0.29961832061068705</v>
      </c>
      <c r="T594" s="6">
        <f>157/$T$3</f>
        <v>0.28035714285714286</v>
      </c>
      <c r="V594">
        <v>151</v>
      </c>
      <c r="W594" s="6">
        <f>V594/V601</f>
        <v>0.29841897233201581</v>
      </c>
      <c r="X594" s="6">
        <f>151/$X$3</f>
        <v>0.27962962962962962</v>
      </c>
      <c r="Z594">
        <v>25</v>
      </c>
      <c r="AA594" s="6">
        <f>Z594/Z601</f>
        <v>0.23584905660377359</v>
      </c>
      <c r="AB594" s="6">
        <f>25/$AB$3</f>
        <v>0.22123893805309736</v>
      </c>
      <c r="AD594">
        <v>46</v>
      </c>
      <c r="AE594" s="6">
        <f>AD594/AD601</f>
        <v>0.24468085106382978</v>
      </c>
      <c r="AF594" s="6">
        <f>46/$AF$3</f>
        <v>0.23232323232323232</v>
      </c>
      <c r="AH594">
        <v>78</v>
      </c>
      <c r="AI594" s="6">
        <f>AH594/AH601</f>
        <v>0.33620689655172414</v>
      </c>
      <c r="AJ594" s="6">
        <f>78/$AJ$3</f>
        <v>0.31578947368421051</v>
      </c>
      <c r="AL594">
        <v>61</v>
      </c>
      <c r="AM594" s="6">
        <f>AL594/AL601</f>
        <v>0.27981651376146788</v>
      </c>
      <c r="AN594" s="6">
        <f>61/$AN$3</f>
        <v>0.26293103448275862</v>
      </c>
      <c r="AP594">
        <v>57</v>
      </c>
      <c r="AQ594" s="6">
        <f>AP594/AP601</f>
        <v>0.33727810650887574</v>
      </c>
      <c r="AR594" s="6">
        <f>57/$AR$3</f>
        <v>0.30645161290322581</v>
      </c>
      <c r="AT594">
        <v>41</v>
      </c>
      <c r="AU594" s="6">
        <f>AT594/AT601</f>
        <v>0.3504273504273504</v>
      </c>
      <c r="AV594" s="6">
        <f>41/$AV$3</f>
        <v>0.33064516129032256</v>
      </c>
      <c r="AX594">
        <v>111</v>
      </c>
      <c r="AY594" s="6">
        <f>AX594/AX601</f>
        <v>0.2810126582278481</v>
      </c>
      <c r="AZ594" s="6">
        <f>111/$AZ$3</f>
        <v>0.25813953488372093</v>
      </c>
      <c r="BB594">
        <v>118</v>
      </c>
      <c r="BC594" s="6">
        <f>BB594/BB601</f>
        <v>0.29135802469135802</v>
      </c>
      <c r="BD594" s="6">
        <f>118/$BD$3</f>
        <v>0.27570093457943923</v>
      </c>
      <c r="BF594">
        <v>79</v>
      </c>
      <c r="BG594" s="6">
        <f>BF594/BF601</f>
        <v>0.34347826086956523</v>
      </c>
      <c r="BH594" s="6">
        <f>79/$BH$3</f>
        <v>0.32644628099173556</v>
      </c>
      <c r="BJ594">
        <v>117</v>
      </c>
      <c r="BK594" s="6">
        <f>BJ594/BJ601</f>
        <v>0.31367292225201071</v>
      </c>
      <c r="BL594" s="6">
        <f>117/$BL$3</f>
        <v>0.29032258064516131</v>
      </c>
      <c r="BN594">
        <v>117</v>
      </c>
      <c r="BO594" s="6">
        <f>BN594/BN601</f>
        <v>0.29770992366412213</v>
      </c>
      <c r="BP594" s="6">
        <f>117/$BP$3</f>
        <v>0.27659574468085107</v>
      </c>
      <c r="BR594">
        <v>74</v>
      </c>
      <c r="BS594" s="6">
        <f>BR594/BR601</f>
        <v>0.28030303030303028</v>
      </c>
      <c r="BT594" s="6">
        <f>74/$BT$3</f>
        <v>0.27007299270072993</v>
      </c>
      <c r="BV594">
        <v>93</v>
      </c>
      <c r="BW594" s="6">
        <f>BV594/BV601</f>
        <v>0.32517482517482516</v>
      </c>
      <c r="BX594" s="6">
        <f>93/$BX$3</f>
        <v>0.30491803278688523</v>
      </c>
      <c r="BZ594">
        <v>53</v>
      </c>
      <c r="CA594" s="6">
        <f>BZ594/BZ601</f>
        <v>0.25118483412322273</v>
      </c>
      <c r="CB594" s="6">
        <f>53/$CB$3</f>
        <v>0.23660714285714285</v>
      </c>
      <c r="CD594">
        <v>71</v>
      </c>
      <c r="CE594" s="6">
        <f>CD594/CD601</f>
        <v>0.31838565022421522</v>
      </c>
      <c r="CF594" s="6">
        <f>71/$CF$3</f>
        <v>0.29460580912863071</v>
      </c>
      <c r="CH594">
        <v>91</v>
      </c>
      <c r="CI594" s="6">
        <f>CH594/CH601</f>
        <v>0.29354838709677417</v>
      </c>
      <c r="CJ594" s="6">
        <f>91/$CJ$3</f>
        <v>0.27575757575757576</v>
      </c>
    </row>
    <row r="595" spans="1:89" x14ac:dyDescent="0.35">
      <c r="A595" s="1" t="s">
        <v>1629</v>
      </c>
      <c r="B595">
        <v>329</v>
      </c>
      <c r="C595" s="6">
        <f>B595/B601</f>
        <v>0.31941747572815532</v>
      </c>
      <c r="D595" s="6">
        <f>329/$D$3</f>
        <v>0.29909090909090907</v>
      </c>
      <c r="F595">
        <v>239</v>
      </c>
      <c r="G595" s="6">
        <f>F595/F601</f>
        <v>0.27534562211981567</v>
      </c>
      <c r="H595" s="6">
        <f>239/$H$3</f>
        <v>0.26234906695938531</v>
      </c>
      <c r="J595">
        <v>96</v>
      </c>
      <c r="K595" s="6">
        <f>J595/J601</f>
        <v>0.22857142857142856</v>
      </c>
      <c r="L595" s="8">
        <f>96/$L$3</f>
        <v>0.22119815668202766</v>
      </c>
      <c r="N595">
        <v>17</v>
      </c>
      <c r="O595" s="6">
        <f>N595/N601</f>
        <v>0.22077922077922077</v>
      </c>
      <c r="P595" s="6">
        <f>17/$P$3</f>
        <v>0.20987654320987653</v>
      </c>
      <c r="R595">
        <v>182</v>
      </c>
      <c r="S595" s="6">
        <f>R595/R601</f>
        <v>0.34732824427480918</v>
      </c>
      <c r="T595" s="6">
        <f>182/$T$3</f>
        <v>0.32500000000000001</v>
      </c>
      <c r="V595">
        <v>147</v>
      </c>
      <c r="W595" s="6">
        <f>V595/V601</f>
        <v>0.29051383399209485</v>
      </c>
      <c r="X595" s="6">
        <f>147/$X$3</f>
        <v>0.2722222222222222</v>
      </c>
      <c r="Z595">
        <v>25</v>
      </c>
      <c r="AA595" s="6">
        <f>Z595/Z601</f>
        <v>0.23584905660377359</v>
      </c>
      <c r="AB595" s="6">
        <f>25/$AB$3</f>
        <v>0.22123893805309736</v>
      </c>
      <c r="AD595">
        <v>59</v>
      </c>
      <c r="AE595" s="6">
        <f>AD595/AD601</f>
        <v>0.31382978723404253</v>
      </c>
      <c r="AF595" s="6">
        <f>59/$AF$3</f>
        <v>0.29797979797979796</v>
      </c>
      <c r="AH595">
        <v>77</v>
      </c>
      <c r="AI595" s="6">
        <f>AH595/AH601</f>
        <v>0.33189655172413796</v>
      </c>
      <c r="AJ595" s="6">
        <f>77/$AJ$3</f>
        <v>0.31174089068825911</v>
      </c>
      <c r="AL595">
        <v>63</v>
      </c>
      <c r="AM595" s="6">
        <f>AL595/AL601</f>
        <v>0.28899082568807338</v>
      </c>
      <c r="AN595" s="6">
        <f>63/$AN$3</f>
        <v>0.27155172413793105</v>
      </c>
      <c r="AP595">
        <v>57</v>
      </c>
      <c r="AQ595" s="6">
        <f>AP595/AP601</f>
        <v>0.33727810650887574</v>
      </c>
      <c r="AR595" s="6">
        <f>57/$AR$3</f>
        <v>0.30645161290322581</v>
      </c>
      <c r="AT595">
        <v>48</v>
      </c>
      <c r="AU595" s="6">
        <f>AT595/AT601</f>
        <v>0.41025641025641024</v>
      </c>
      <c r="AV595" s="9">
        <f>48/$AV$3</f>
        <v>0.38709677419354838</v>
      </c>
      <c r="AX595">
        <v>109</v>
      </c>
      <c r="AY595" s="6">
        <f>AX595/AX601</f>
        <v>0.27594936708860762</v>
      </c>
      <c r="AZ595" s="6">
        <f>109/$AZ$3</f>
        <v>0.25348837209302327</v>
      </c>
      <c r="BB595">
        <v>126</v>
      </c>
      <c r="BC595" s="6">
        <f>BB595/BB601</f>
        <v>0.31111111111111112</v>
      </c>
      <c r="BD595" s="6">
        <f>126/$BD$3</f>
        <v>0.29439252336448596</v>
      </c>
      <c r="BF595">
        <v>94</v>
      </c>
      <c r="BG595" s="6">
        <f>BF595/BF601</f>
        <v>0.40869565217391307</v>
      </c>
      <c r="BH595" s="9">
        <f>94/$BH$3</f>
        <v>0.38842975206611569</v>
      </c>
      <c r="BI595" s="7" t="s">
        <v>3</v>
      </c>
      <c r="BJ595">
        <v>120</v>
      </c>
      <c r="BK595" s="6">
        <f>BJ595/BJ601</f>
        <v>0.32171581769436997</v>
      </c>
      <c r="BL595" s="6">
        <f>120/$BL$3</f>
        <v>0.29776674937965258</v>
      </c>
      <c r="BN595">
        <v>123</v>
      </c>
      <c r="BO595" s="6">
        <f>BN595/BN601</f>
        <v>0.31297709923664124</v>
      </c>
      <c r="BP595" s="6">
        <f>123/$BP$3</f>
        <v>0.29078014184397161</v>
      </c>
      <c r="BR595">
        <v>86</v>
      </c>
      <c r="BS595" s="6">
        <f>BR595/BR601</f>
        <v>0.32575757575757575</v>
      </c>
      <c r="BT595" s="6">
        <f>86/$BT$3</f>
        <v>0.31386861313868614</v>
      </c>
      <c r="BV595">
        <v>86</v>
      </c>
      <c r="BW595" s="6">
        <f>BV595/BV601</f>
        <v>0.30069930069930068</v>
      </c>
      <c r="BX595" s="6">
        <f>86/$BX$3</f>
        <v>0.28196721311475409</v>
      </c>
      <c r="BZ595">
        <v>55</v>
      </c>
      <c r="CA595" s="6">
        <f>BZ595/BZ601</f>
        <v>0.26066350710900477</v>
      </c>
      <c r="CB595" s="8">
        <f>55/$CB$3</f>
        <v>0.24553571428571427</v>
      </c>
      <c r="CD595">
        <v>75</v>
      </c>
      <c r="CE595" s="6">
        <f>CD595/CD601</f>
        <v>0.33632286995515698</v>
      </c>
      <c r="CF595" s="6">
        <f>75/$CF$3</f>
        <v>0.31120331950207469</v>
      </c>
      <c r="CH595">
        <v>113</v>
      </c>
      <c r="CI595" s="6">
        <f>CH595/CH601</f>
        <v>0.36451612903225805</v>
      </c>
      <c r="CJ595" s="6">
        <f>113/$CJ$3</f>
        <v>0.34242424242424241</v>
      </c>
    </row>
    <row r="596" spans="1:89" x14ac:dyDescent="0.35">
      <c r="A596" s="1" t="s">
        <v>1630</v>
      </c>
      <c r="B596">
        <v>519</v>
      </c>
      <c r="C596" s="6">
        <f>B596/B601</f>
        <v>0.50388349514563102</v>
      </c>
      <c r="D596" s="6">
        <f>519/$D$3</f>
        <v>0.4718181818181818</v>
      </c>
      <c r="F596">
        <v>401</v>
      </c>
      <c r="G596" s="6">
        <f>F596/F601</f>
        <v>0.46198156682027652</v>
      </c>
      <c r="H596" s="6">
        <f>401/$H$3</f>
        <v>0.44017563117453345</v>
      </c>
      <c r="J596">
        <v>168</v>
      </c>
      <c r="K596" s="6">
        <f>J596/J601</f>
        <v>0.4</v>
      </c>
      <c r="L596" s="8">
        <f>168/$L$3</f>
        <v>0.38709677419354838</v>
      </c>
      <c r="N596">
        <v>31</v>
      </c>
      <c r="O596" s="6">
        <f>N596/N601</f>
        <v>0.40259740259740262</v>
      </c>
      <c r="P596" s="6">
        <f>31/$P$3</f>
        <v>0.38271604938271603</v>
      </c>
      <c r="R596">
        <v>266</v>
      </c>
      <c r="S596" s="6">
        <f>R596/R601</f>
        <v>0.50763358778625955</v>
      </c>
      <c r="T596" s="6">
        <f>266/$T$3</f>
        <v>0.47499999999999998</v>
      </c>
      <c r="V596">
        <v>253</v>
      </c>
      <c r="W596" s="6">
        <f>V596/V601</f>
        <v>0.5</v>
      </c>
      <c r="X596" s="6">
        <f>253/$X$3</f>
        <v>0.4685185185185185</v>
      </c>
      <c r="Z596">
        <v>41</v>
      </c>
      <c r="AA596" s="6">
        <f>Z596/Z601</f>
        <v>0.3867924528301887</v>
      </c>
      <c r="AB596" s="8">
        <f>41/$AB$3</f>
        <v>0.36283185840707965</v>
      </c>
      <c r="AD596">
        <v>82</v>
      </c>
      <c r="AE596" s="6">
        <f>AD596/AD601</f>
        <v>0.43617021276595747</v>
      </c>
      <c r="AF596" s="6">
        <f>82/$AF$3</f>
        <v>0.41414141414141414</v>
      </c>
      <c r="AH596">
        <v>109</v>
      </c>
      <c r="AI596" s="6">
        <f>AH596/AH601</f>
        <v>0.46982758620689657</v>
      </c>
      <c r="AJ596" s="6">
        <f>109/$AJ$3</f>
        <v>0.44129554655870445</v>
      </c>
      <c r="AL596">
        <v>113</v>
      </c>
      <c r="AM596" s="6">
        <f>AL596/AL601</f>
        <v>0.51834862385321101</v>
      </c>
      <c r="AN596" s="6">
        <f>113/$AN$3</f>
        <v>0.48706896551724138</v>
      </c>
      <c r="AP596">
        <v>97</v>
      </c>
      <c r="AQ596" s="6">
        <f>AP596/AP601</f>
        <v>0.57396449704142016</v>
      </c>
      <c r="AR596" s="6">
        <f>97/$AR$3</f>
        <v>0.521505376344086</v>
      </c>
      <c r="AT596">
        <v>77</v>
      </c>
      <c r="AU596" s="6">
        <f>AT596/AT601</f>
        <v>0.65811965811965811</v>
      </c>
      <c r="AV596" s="9">
        <f>77/$AV$3</f>
        <v>0.62096774193548387</v>
      </c>
      <c r="AW596" s="7"/>
      <c r="AX596">
        <v>185</v>
      </c>
      <c r="AY596" s="6">
        <f>AX596/AX601</f>
        <v>0.46835443037974683</v>
      </c>
      <c r="AZ596" s="6">
        <f>185/$AZ$3</f>
        <v>0.43023255813953487</v>
      </c>
      <c r="BB596">
        <v>204</v>
      </c>
      <c r="BC596" s="6">
        <f>BB596/BB601</f>
        <v>0.50370370370370365</v>
      </c>
      <c r="BD596" s="6">
        <f>204/$BD$3</f>
        <v>0.47663551401869159</v>
      </c>
      <c r="BF596">
        <v>130</v>
      </c>
      <c r="BG596" s="6">
        <f>BF596/BF601</f>
        <v>0.56521739130434778</v>
      </c>
      <c r="BH596" s="9">
        <f>130/$BH$3</f>
        <v>0.53719008264462809</v>
      </c>
      <c r="BJ596">
        <v>177</v>
      </c>
      <c r="BK596" s="6">
        <f>BJ596/BJ601</f>
        <v>0.47453083109919569</v>
      </c>
      <c r="BL596" s="6">
        <f>177/$BL$3</f>
        <v>0.43920595533498757</v>
      </c>
      <c r="BN596">
        <v>206</v>
      </c>
      <c r="BO596" s="6">
        <f>BN596/BN601</f>
        <v>0.5241730279898219</v>
      </c>
      <c r="BP596" s="6">
        <f>206/$BP$3</f>
        <v>0.48699763593380613</v>
      </c>
      <c r="BR596">
        <v>136</v>
      </c>
      <c r="BS596" s="6">
        <f>BR596/BR601</f>
        <v>0.51515151515151514</v>
      </c>
      <c r="BT596" s="6">
        <f>136/$BT$3</f>
        <v>0.49635036496350365</v>
      </c>
      <c r="BV596">
        <v>142</v>
      </c>
      <c r="BW596" s="6">
        <f>BV596/BV601</f>
        <v>0.49650349650349651</v>
      </c>
      <c r="BX596" s="6">
        <f>142/$BX$3</f>
        <v>0.46557377049180326</v>
      </c>
      <c r="BZ596">
        <v>105</v>
      </c>
      <c r="CA596" s="6">
        <f>BZ596/BZ601</f>
        <v>0.49763033175355448</v>
      </c>
      <c r="CB596" s="6">
        <f>105/$CB$3</f>
        <v>0.46875</v>
      </c>
      <c r="CD596">
        <v>106</v>
      </c>
      <c r="CE596" s="6">
        <f>CD596/CD601</f>
        <v>0.47533632286995514</v>
      </c>
      <c r="CF596" s="6">
        <f>106/$CF$3</f>
        <v>0.43983402489626555</v>
      </c>
      <c r="CH596">
        <v>166</v>
      </c>
      <c r="CI596" s="6">
        <f>CH596/CH601</f>
        <v>0.53548387096774197</v>
      </c>
      <c r="CJ596" s="6">
        <f>166/$CJ$3</f>
        <v>0.50303030303030305</v>
      </c>
    </row>
    <row r="597" spans="1:89" x14ac:dyDescent="0.35">
      <c r="A597" s="1" t="s">
        <v>1631</v>
      </c>
      <c r="B597">
        <v>441</v>
      </c>
      <c r="C597" s="6">
        <f>B597/B601</f>
        <v>0.42815533980582526</v>
      </c>
      <c r="D597" s="6">
        <f>441/$D$3</f>
        <v>0.40090909090909088</v>
      </c>
      <c r="F597">
        <v>336</v>
      </c>
      <c r="G597" s="6">
        <f>F597/F601</f>
        <v>0.38709677419354838</v>
      </c>
      <c r="H597" s="6">
        <f>336/$H$3</f>
        <v>0.36882546652030734</v>
      </c>
      <c r="J597">
        <v>152</v>
      </c>
      <c r="K597" s="6">
        <f>J597/J601</f>
        <v>0.3619047619047619</v>
      </c>
      <c r="L597" s="8">
        <f>152/$L$3</f>
        <v>0.35023041474654376</v>
      </c>
      <c r="N597">
        <v>25</v>
      </c>
      <c r="O597" s="6">
        <f>N597/N601</f>
        <v>0.32467532467532467</v>
      </c>
      <c r="P597" s="6">
        <f>25/$P$3</f>
        <v>0.30864197530864196</v>
      </c>
      <c r="R597">
        <v>235</v>
      </c>
      <c r="S597" s="6">
        <f>R597/R601</f>
        <v>0.44847328244274809</v>
      </c>
      <c r="T597" s="6">
        <f>235/$T$3</f>
        <v>0.41964285714285715</v>
      </c>
      <c r="V597">
        <v>206</v>
      </c>
      <c r="W597" s="6">
        <f>V597/V601</f>
        <v>0.40711462450592883</v>
      </c>
      <c r="X597" s="6">
        <f>206/$X$3</f>
        <v>0.38148148148148148</v>
      </c>
      <c r="Z597">
        <v>46</v>
      </c>
      <c r="AA597" s="6">
        <f>Z597/Z601</f>
        <v>0.43396226415094341</v>
      </c>
      <c r="AB597" s="6">
        <f>46/$AB$3</f>
        <v>0.40707964601769914</v>
      </c>
      <c r="AD597">
        <v>76</v>
      </c>
      <c r="AE597" s="6">
        <f>AD597/AD601</f>
        <v>0.40425531914893614</v>
      </c>
      <c r="AF597" s="6">
        <f>76/$AF$3</f>
        <v>0.38383838383838381</v>
      </c>
      <c r="AH597">
        <v>110</v>
      </c>
      <c r="AI597" s="6">
        <f>AH597/AH601</f>
        <v>0.47413793103448276</v>
      </c>
      <c r="AJ597" s="6">
        <f>110/$AJ$3</f>
        <v>0.44534412955465585</v>
      </c>
      <c r="AL597">
        <v>83</v>
      </c>
      <c r="AM597" s="6">
        <f>AL597/AL601</f>
        <v>0.38073394495412843</v>
      </c>
      <c r="AN597" s="6">
        <f>83/$AN$3</f>
        <v>0.35775862068965519</v>
      </c>
      <c r="AP597">
        <v>71</v>
      </c>
      <c r="AQ597" s="6">
        <f>AP597/AP601</f>
        <v>0.42011834319526625</v>
      </c>
      <c r="AR597" s="6">
        <f>71/$AR$3</f>
        <v>0.38172043010752688</v>
      </c>
      <c r="AT597">
        <v>55</v>
      </c>
      <c r="AU597" s="6">
        <f>AT597/AT601</f>
        <v>0.47008547008547008</v>
      </c>
      <c r="AV597" s="6">
        <f>55/$AV$3</f>
        <v>0.44354838709677419</v>
      </c>
      <c r="AX597">
        <v>147</v>
      </c>
      <c r="AY597" s="6">
        <f>AX597/AX601</f>
        <v>0.3721518987341772</v>
      </c>
      <c r="AZ597" s="8">
        <f>147/$AZ$3</f>
        <v>0.34186046511627904</v>
      </c>
      <c r="BB597">
        <v>172</v>
      </c>
      <c r="BC597" s="6">
        <f>BB597/BB601</f>
        <v>0.42469135802469138</v>
      </c>
      <c r="BD597" s="6">
        <f>172/$BD$3</f>
        <v>0.40186915887850466</v>
      </c>
      <c r="BF597">
        <v>122</v>
      </c>
      <c r="BG597" s="6">
        <f>BF597/BF601</f>
        <v>0.5304347826086957</v>
      </c>
      <c r="BH597" s="9">
        <f>122/$BH$3</f>
        <v>0.50413223140495866</v>
      </c>
      <c r="BI597" s="7" t="s">
        <v>3</v>
      </c>
      <c r="BJ597">
        <v>144</v>
      </c>
      <c r="BK597" s="6">
        <f>BJ597/BJ601</f>
        <v>0.38605898123324395</v>
      </c>
      <c r="BL597" s="6">
        <f>144/$BL$3</f>
        <v>0.35732009925558311</v>
      </c>
      <c r="BN597">
        <v>175</v>
      </c>
      <c r="BO597" s="6">
        <f>BN597/BN601</f>
        <v>0.44529262086513993</v>
      </c>
      <c r="BP597" s="6">
        <f>175/$BP$3</f>
        <v>0.41371158392434987</v>
      </c>
      <c r="BR597">
        <v>122</v>
      </c>
      <c r="BS597" s="6">
        <f>BR597/BR601</f>
        <v>0.4621212121212121</v>
      </c>
      <c r="BT597" s="6">
        <f>122/$BT$3</f>
        <v>0.44525547445255476</v>
      </c>
      <c r="BV597">
        <v>112</v>
      </c>
      <c r="BW597" s="6">
        <f>BV597/BV601</f>
        <v>0.39160839160839161</v>
      </c>
      <c r="BX597" s="6">
        <f>112/$BX$3</f>
        <v>0.36721311475409835</v>
      </c>
      <c r="BZ597">
        <v>88</v>
      </c>
      <c r="CA597" s="6">
        <f>BZ597/BZ601</f>
        <v>0.41706161137440756</v>
      </c>
      <c r="CB597" s="6">
        <f>88/$CB$3</f>
        <v>0.39285714285714285</v>
      </c>
      <c r="CD597">
        <v>89</v>
      </c>
      <c r="CE597" s="6">
        <f>CD597/CD601</f>
        <v>0.3991031390134529</v>
      </c>
      <c r="CF597" s="6">
        <f>89/$CF$3</f>
        <v>0.36929460580912865</v>
      </c>
      <c r="CH597">
        <v>152</v>
      </c>
      <c r="CI597" s="6">
        <f>CH597/CH601</f>
        <v>0.49032258064516127</v>
      </c>
      <c r="CJ597" s="9">
        <f>152/$CJ$3</f>
        <v>0.46060606060606063</v>
      </c>
    </row>
    <row r="598" spans="1:89" x14ac:dyDescent="0.35">
      <c r="A598" s="1" t="s">
        <v>1632</v>
      </c>
      <c r="B598">
        <v>349</v>
      </c>
      <c r="C598" s="6">
        <f>B598/B601</f>
        <v>0.33883495145631071</v>
      </c>
      <c r="D598" s="6">
        <f>349/$D$3</f>
        <v>0.31727272727272726</v>
      </c>
      <c r="F598">
        <v>263</v>
      </c>
      <c r="G598" s="6">
        <f>F598/F601</f>
        <v>0.30299539170506912</v>
      </c>
      <c r="H598" s="6">
        <f>263/$H$3</f>
        <v>0.28869374313940727</v>
      </c>
      <c r="J598">
        <v>114</v>
      </c>
      <c r="K598" s="6">
        <f>J598/J601</f>
        <v>0.27142857142857141</v>
      </c>
      <c r="L598" s="8">
        <f>114/$L$3</f>
        <v>0.26267281105990781</v>
      </c>
      <c r="N598">
        <v>18</v>
      </c>
      <c r="O598" s="6">
        <f>N598/N601</f>
        <v>0.23376623376623376</v>
      </c>
      <c r="P598" s="6">
        <f>18/$P$3</f>
        <v>0.22222222222222221</v>
      </c>
      <c r="R598">
        <v>158</v>
      </c>
      <c r="S598" s="6">
        <f>R598/R601</f>
        <v>0.30152671755725191</v>
      </c>
      <c r="T598" s="6">
        <f>158/$T$3</f>
        <v>0.28214285714285714</v>
      </c>
      <c r="V598">
        <v>191</v>
      </c>
      <c r="W598" s="6">
        <f>V598/V601</f>
        <v>0.37747035573122528</v>
      </c>
      <c r="X598" s="6">
        <f>191/$X$3</f>
        <v>0.35370370370370369</v>
      </c>
      <c r="Z598">
        <v>27</v>
      </c>
      <c r="AA598" s="6">
        <f>Z598/Z601</f>
        <v>0.25471698113207547</v>
      </c>
      <c r="AB598" s="6">
        <f>27/$AB$3</f>
        <v>0.23893805309734514</v>
      </c>
      <c r="AD598">
        <v>57</v>
      </c>
      <c r="AE598" s="6">
        <f>AD598/AD601</f>
        <v>0.30319148936170215</v>
      </c>
      <c r="AF598" s="6">
        <f>57/$AF$3</f>
        <v>0.2878787878787879</v>
      </c>
      <c r="AH598">
        <v>81</v>
      </c>
      <c r="AI598" s="6">
        <f>AH598/AH601</f>
        <v>0.34913793103448276</v>
      </c>
      <c r="AJ598" s="6">
        <f>81/$AJ$3</f>
        <v>0.32793522267206476</v>
      </c>
      <c r="AL598">
        <v>65</v>
      </c>
      <c r="AM598" s="6">
        <f>AL598/AL601</f>
        <v>0.29816513761467889</v>
      </c>
      <c r="AN598" s="6">
        <f>65/$AN$3</f>
        <v>0.28017241379310343</v>
      </c>
      <c r="AP598">
        <v>69</v>
      </c>
      <c r="AQ598" s="6">
        <f>AP598/AP601</f>
        <v>0.40828402366863903</v>
      </c>
      <c r="AR598" s="6">
        <f>69/$AR$3</f>
        <v>0.37096774193548387</v>
      </c>
      <c r="AT598">
        <v>50</v>
      </c>
      <c r="AU598" s="6">
        <f>AT598/AT601</f>
        <v>0.42735042735042733</v>
      </c>
      <c r="AV598" s="9">
        <f>50/$AV$3</f>
        <v>0.40322580645161288</v>
      </c>
      <c r="AX598">
        <v>121</v>
      </c>
      <c r="AY598" s="6">
        <f>AX598/AX601</f>
        <v>0.30632911392405066</v>
      </c>
      <c r="AZ598" s="6">
        <f>121/$AZ$3</f>
        <v>0.28139534883720929</v>
      </c>
      <c r="BB598">
        <v>136</v>
      </c>
      <c r="BC598" s="6">
        <f>BB598/BB601</f>
        <v>0.33580246913580247</v>
      </c>
      <c r="BD598" s="6">
        <f>136/$BD$3</f>
        <v>0.31775700934579437</v>
      </c>
      <c r="BF598">
        <v>92</v>
      </c>
      <c r="BG598" s="6">
        <f>BF598/BF601</f>
        <v>0.4</v>
      </c>
      <c r="BH598" s="9">
        <f>92/$BH$3</f>
        <v>0.38016528925619836</v>
      </c>
      <c r="BJ598">
        <v>123</v>
      </c>
      <c r="BK598" s="6">
        <f>BJ598/BJ601</f>
        <v>0.32975871313672922</v>
      </c>
      <c r="BL598" s="6">
        <f>123/$BL$3</f>
        <v>0.30521091811414391</v>
      </c>
      <c r="BN598">
        <v>137</v>
      </c>
      <c r="BO598" s="6">
        <f>BN598/BN601</f>
        <v>0.34860050890585242</v>
      </c>
      <c r="BP598" s="6">
        <f>137/$BP$3</f>
        <v>0.32387706855791965</v>
      </c>
      <c r="BR598">
        <v>89</v>
      </c>
      <c r="BS598" s="6">
        <f>BR598/BR601</f>
        <v>0.3371212121212121</v>
      </c>
      <c r="BT598" s="6">
        <f>89/$BT$3</f>
        <v>0.32481751824817517</v>
      </c>
      <c r="BV598">
        <v>106</v>
      </c>
      <c r="BW598" s="6">
        <f>BV598/BV601</f>
        <v>0.37062937062937062</v>
      </c>
      <c r="BX598" s="6">
        <f>106/$BX$3</f>
        <v>0.34754098360655739</v>
      </c>
      <c r="BZ598">
        <v>66</v>
      </c>
      <c r="CA598" s="6">
        <f>BZ598/BZ601</f>
        <v>0.3127962085308057</v>
      </c>
      <c r="CB598" s="6">
        <f>66/$CB$3</f>
        <v>0.29464285714285715</v>
      </c>
      <c r="CD598">
        <v>70</v>
      </c>
      <c r="CE598" s="6">
        <f>CD598/CD601</f>
        <v>0.31390134529147984</v>
      </c>
      <c r="CF598" s="6">
        <f>70/$CF$3</f>
        <v>0.29045643153526973</v>
      </c>
      <c r="CH598">
        <v>107</v>
      </c>
      <c r="CI598" s="6">
        <f>CH598/CH601</f>
        <v>0.34516129032258064</v>
      </c>
      <c r="CJ598" s="6">
        <f>107/$CJ$3</f>
        <v>0.32424242424242422</v>
      </c>
    </row>
    <row r="600" spans="1:89" x14ac:dyDescent="0.35">
      <c r="A600" s="1" t="s">
        <v>409</v>
      </c>
      <c r="B600">
        <v>0</v>
      </c>
      <c r="C600" s="6">
        <f>B600/B601</f>
        <v>0</v>
      </c>
      <c r="D600" s="6">
        <f>0/$D$3</f>
        <v>0</v>
      </c>
      <c r="F600">
        <v>0</v>
      </c>
      <c r="G600" s="6">
        <f>F600/F601</f>
        <v>0</v>
      </c>
      <c r="H600" s="6">
        <f>0/$H$3</f>
        <v>0</v>
      </c>
      <c r="J600">
        <v>0</v>
      </c>
      <c r="K600" s="6">
        <f>J600/J601</f>
        <v>0</v>
      </c>
      <c r="L600" s="6">
        <f>0/$L$3</f>
        <v>0</v>
      </c>
      <c r="N600">
        <v>0</v>
      </c>
      <c r="O600" s="6">
        <f>N600/N601</f>
        <v>0</v>
      </c>
      <c r="P600" s="6">
        <f>0/$P$3</f>
        <v>0</v>
      </c>
      <c r="R600">
        <v>0</v>
      </c>
      <c r="S600" s="6">
        <f>R600/R601</f>
        <v>0</v>
      </c>
      <c r="T600" s="6">
        <f>0/$T$3</f>
        <v>0</v>
      </c>
      <c r="V600">
        <v>0</v>
      </c>
      <c r="W600" s="6">
        <f>V600/V601</f>
        <v>0</v>
      </c>
      <c r="X600" s="6">
        <f>0/$X$3</f>
        <v>0</v>
      </c>
      <c r="Z600">
        <v>0</v>
      </c>
      <c r="AA600" s="6">
        <f>Z600/Z601</f>
        <v>0</v>
      </c>
      <c r="AB600" s="6">
        <f>0/$AB$3</f>
        <v>0</v>
      </c>
      <c r="AD600">
        <v>0</v>
      </c>
      <c r="AE600" s="6">
        <f>AD600/AD601</f>
        <v>0</v>
      </c>
      <c r="AF600" s="6">
        <f>0/$AF$3</f>
        <v>0</v>
      </c>
      <c r="AH600">
        <v>0</v>
      </c>
      <c r="AI600" s="6">
        <f>AH600/AH601</f>
        <v>0</v>
      </c>
      <c r="AJ600" s="6">
        <f>0/$AJ$3</f>
        <v>0</v>
      </c>
      <c r="AL600">
        <v>0</v>
      </c>
      <c r="AM600" s="6">
        <f>AL600/AL601</f>
        <v>0</v>
      </c>
      <c r="AN600" s="6">
        <f>0/$AN$3</f>
        <v>0</v>
      </c>
      <c r="AP600">
        <v>0</v>
      </c>
      <c r="AQ600" s="6">
        <f>AP600/AP601</f>
        <v>0</v>
      </c>
      <c r="AR600" s="6">
        <f>0/$AR$3</f>
        <v>0</v>
      </c>
      <c r="AT600">
        <v>0</v>
      </c>
      <c r="AU600" s="6">
        <f>AT600/AT601</f>
        <v>0</v>
      </c>
      <c r="AV600" s="6">
        <f>0/$AV$3</f>
        <v>0</v>
      </c>
      <c r="AX600">
        <v>0</v>
      </c>
      <c r="AY600" s="6">
        <f>AX600/AX601</f>
        <v>0</v>
      </c>
      <c r="AZ600" s="6">
        <f>0/$AZ$3</f>
        <v>0</v>
      </c>
      <c r="BB600">
        <v>0</v>
      </c>
      <c r="BC600" s="6">
        <f>BB600/BB601</f>
        <v>0</v>
      </c>
      <c r="BD600" s="6">
        <f>0/$BD$3</f>
        <v>0</v>
      </c>
      <c r="BF600">
        <v>0</v>
      </c>
      <c r="BG600" s="6">
        <f>BF600/BF601</f>
        <v>0</v>
      </c>
      <c r="BH600" s="6">
        <f>0/$BH$3</f>
        <v>0</v>
      </c>
      <c r="BJ600">
        <v>0</v>
      </c>
      <c r="BK600" s="6">
        <f>BJ600/BJ601</f>
        <v>0</v>
      </c>
      <c r="BL600" s="6">
        <f>0/$BL$3</f>
        <v>0</v>
      </c>
      <c r="BN600">
        <v>0</v>
      </c>
      <c r="BO600" s="6">
        <f>BN600/BN601</f>
        <v>0</v>
      </c>
      <c r="BP600" s="6">
        <f>0/$BP$3</f>
        <v>0</v>
      </c>
      <c r="BR600">
        <v>0</v>
      </c>
      <c r="BS600" s="6">
        <f>BR600/BR601</f>
        <v>0</v>
      </c>
      <c r="BT600" s="6">
        <f>0/$BT$3</f>
        <v>0</v>
      </c>
      <c r="BV600">
        <v>0</v>
      </c>
      <c r="BW600" s="6">
        <f>BV600/BV601</f>
        <v>0</v>
      </c>
      <c r="BX600" s="6">
        <f>0/$BX$3</f>
        <v>0</v>
      </c>
      <c r="BZ600">
        <v>0</v>
      </c>
      <c r="CA600" s="6">
        <f>BZ600/BZ601</f>
        <v>0</v>
      </c>
      <c r="CB600" s="6">
        <f>0/$CB$3</f>
        <v>0</v>
      </c>
      <c r="CD600">
        <v>0</v>
      </c>
      <c r="CE600" s="6">
        <f>CD600/CD601</f>
        <v>0</v>
      </c>
      <c r="CF600" s="6">
        <f>0/$CF$3</f>
        <v>0</v>
      </c>
      <c r="CH600">
        <v>0</v>
      </c>
      <c r="CI600" s="6">
        <f>CH600/CH601</f>
        <v>0</v>
      </c>
      <c r="CJ600" s="6">
        <f>0/$CJ$3</f>
        <v>0</v>
      </c>
    </row>
    <row r="601" spans="1:89" s="10" customFormat="1" x14ac:dyDescent="0.35">
      <c r="A601" s="11" t="s">
        <v>411</v>
      </c>
      <c r="B601" s="10">
        <v>1030</v>
      </c>
      <c r="F601" s="10">
        <v>868</v>
      </c>
      <c r="J601" s="10">
        <v>420</v>
      </c>
      <c r="N601" s="10">
        <v>77</v>
      </c>
      <c r="R601" s="10">
        <v>524</v>
      </c>
      <c r="V601" s="10">
        <v>506</v>
      </c>
      <c r="Z601" s="10">
        <v>106</v>
      </c>
      <c r="AD601" s="10">
        <v>188</v>
      </c>
      <c r="AH601" s="10">
        <v>232</v>
      </c>
      <c r="AL601" s="10">
        <v>218</v>
      </c>
      <c r="AP601" s="10">
        <v>169</v>
      </c>
      <c r="AT601" s="10">
        <v>117</v>
      </c>
      <c r="AX601" s="10">
        <v>395</v>
      </c>
      <c r="BB601" s="10">
        <v>405</v>
      </c>
      <c r="BF601" s="10">
        <v>230</v>
      </c>
      <c r="BJ601" s="10">
        <v>373</v>
      </c>
      <c r="BN601" s="10">
        <v>393</v>
      </c>
      <c r="BR601" s="10">
        <v>264</v>
      </c>
      <c r="BV601" s="10">
        <v>286</v>
      </c>
      <c r="BZ601" s="10">
        <v>211</v>
      </c>
      <c r="CD601" s="10">
        <v>223</v>
      </c>
      <c r="CH601" s="10">
        <v>310</v>
      </c>
    </row>
    <row r="602" spans="1:89" hidden="1" x14ac:dyDescent="0.35">
      <c r="A602" s="12" t="s">
        <v>412</v>
      </c>
      <c r="B602">
        <v>0</v>
      </c>
      <c r="F602">
        <v>0</v>
      </c>
      <c r="J602">
        <v>0</v>
      </c>
      <c r="N602">
        <v>0</v>
      </c>
      <c r="R602">
        <v>0</v>
      </c>
      <c r="V602">
        <v>0</v>
      </c>
      <c r="Z602">
        <v>0</v>
      </c>
      <c r="AD602">
        <v>0</v>
      </c>
      <c r="AH602">
        <v>0</v>
      </c>
      <c r="AL602">
        <v>0</v>
      </c>
      <c r="AP602">
        <v>0</v>
      </c>
      <c r="AT602">
        <v>0</v>
      </c>
      <c r="AX602">
        <v>0</v>
      </c>
      <c r="BB602">
        <v>0</v>
      </c>
      <c r="BF602">
        <v>0</v>
      </c>
      <c r="BJ602">
        <v>0</v>
      </c>
      <c r="BN602">
        <v>0</v>
      </c>
      <c r="BR602">
        <v>0</v>
      </c>
      <c r="BV602">
        <v>0</v>
      </c>
      <c r="BZ602">
        <v>0</v>
      </c>
      <c r="CD602">
        <v>0</v>
      </c>
      <c r="CH602">
        <v>0</v>
      </c>
    </row>
    <row r="603" spans="1:89" s="13" customFormat="1" x14ac:dyDescent="0.35">
      <c r="A603" s="12" t="s">
        <v>413</v>
      </c>
      <c r="B603" s="13">
        <v>70</v>
      </c>
      <c r="F603" s="13">
        <v>43</v>
      </c>
      <c r="J603" s="13">
        <v>14</v>
      </c>
      <c r="N603" s="13">
        <v>4</v>
      </c>
      <c r="R603" s="13">
        <v>36</v>
      </c>
      <c r="V603" s="13">
        <v>34</v>
      </c>
      <c r="Z603" s="13">
        <v>7</v>
      </c>
      <c r="AD603" s="13">
        <v>10</v>
      </c>
      <c r="AH603" s="13">
        <v>15</v>
      </c>
      <c r="AL603" s="13">
        <v>14</v>
      </c>
      <c r="AP603" s="13">
        <v>17</v>
      </c>
      <c r="AT603" s="13">
        <v>7</v>
      </c>
      <c r="AX603" s="13">
        <v>35</v>
      </c>
      <c r="BB603" s="13">
        <v>23</v>
      </c>
      <c r="BF603" s="13">
        <v>12</v>
      </c>
      <c r="BJ603" s="13">
        <v>30</v>
      </c>
      <c r="BN603" s="13">
        <v>30</v>
      </c>
      <c r="BR603" s="13">
        <v>10</v>
      </c>
      <c r="BV603" s="13">
        <v>19</v>
      </c>
      <c r="BZ603" s="13">
        <v>13</v>
      </c>
      <c r="CD603" s="13">
        <v>18</v>
      </c>
      <c r="CH603" s="13">
        <v>20</v>
      </c>
    </row>
    <row r="605" spans="1:89" x14ac:dyDescent="0.35">
      <c r="AB605" s="2" t="s">
        <v>3</v>
      </c>
      <c r="AF605" s="2" t="s">
        <v>4</v>
      </c>
      <c r="AJ605" s="2" t="s">
        <v>5</v>
      </c>
      <c r="AN605" s="2" t="s">
        <v>6</v>
      </c>
      <c r="AR605" s="2" t="s">
        <v>7</v>
      </c>
      <c r="AV605" s="2" t="s">
        <v>8</v>
      </c>
      <c r="AZ605" s="2" t="s">
        <v>3</v>
      </c>
      <c r="BD605" s="2" t="s">
        <v>4</v>
      </c>
      <c r="BH605" s="2" t="s">
        <v>5</v>
      </c>
      <c r="BL605" s="2" t="s">
        <v>3</v>
      </c>
      <c r="BP605" s="2" t="s">
        <v>4</v>
      </c>
      <c r="BT605" s="2" t="s">
        <v>5</v>
      </c>
      <c r="BX605" s="2" t="s">
        <v>3</v>
      </c>
      <c r="CB605" s="2" t="s">
        <v>4</v>
      </c>
      <c r="CF605" s="2" t="s">
        <v>5</v>
      </c>
      <c r="CJ605" s="2" t="s">
        <v>6</v>
      </c>
    </row>
    <row r="606" spans="1:89" s="3" customFormat="1" x14ac:dyDescent="0.35">
      <c r="A606" s="3" t="s">
        <v>1633</v>
      </c>
      <c r="D606" s="5" t="s">
        <v>406</v>
      </c>
      <c r="H606" s="5" t="s">
        <v>406</v>
      </c>
      <c r="L606" s="5" t="s">
        <v>406</v>
      </c>
      <c r="P606" s="5" t="s">
        <v>406</v>
      </c>
      <c r="T606" s="5" t="s">
        <v>406</v>
      </c>
      <c r="X606" s="5" t="s">
        <v>406</v>
      </c>
      <c r="AB606" s="5" t="s">
        <v>406</v>
      </c>
      <c r="AF606" s="5" t="s">
        <v>406</v>
      </c>
      <c r="AJ606" s="5" t="s">
        <v>406</v>
      </c>
      <c r="AN606" s="5" t="s">
        <v>406</v>
      </c>
      <c r="AR606" s="5" t="s">
        <v>406</v>
      </c>
      <c r="AV606" s="5" t="s">
        <v>406</v>
      </c>
      <c r="AZ606" s="5" t="s">
        <v>406</v>
      </c>
      <c r="BD606" s="5" t="s">
        <v>406</v>
      </c>
      <c r="BH606" s="5" t="s">
        <v>406</v>
      </c>
      <c r="BL606" s="5" t="s">
        <v>406</v>
      </c>
      <c r="BP606" s="5" t="s">
        <v>406</v>
      </c>
      <c r="BT606" s="5" t="s">
        <v>406</v>
      </c>
      <c r="BX606" s="5" t="s">
        <v>406</v>
      </c>
      <c r="CB606" s="5" t="s">
        <v>406</v>
      </c>
      <c r="CF606" s="5" t="s">
        <v>406</v>
      </c>
      <c r="CJ606" s="5" t="s">
        <v>406</v>
      </c>
    </row>
    <row r="607" spans="1:89" x14ac:dyDescent="0.35">
      <c r="A607" s="1" t="s">
        <v>15</v>
      </c>
      <c r="B607">
        <v>983</v>
      </c>
      <c r="C607" s="6">
        <f>B607/B614</f>
        <v>0.89363636363636367</v>
      </c>
      <c r="D607" s="6">
        <f>983/$D$3</f>
        <v>0.89363636363636367</v>
      </c>
      <c r="F607">
        <v>837</v>
      </c>
      <c r="G607" s="6">
        <f>F607/F614</f>
        <v>0.91877058177826565</v>
      </c>
      <c r="H607" s="6">
        <f>837/$H$3</f>
        <v>0.91877058177826565</v>
      </c>
      <c r="J607">
        <v>401</v>
      </c>
      <c r="K607" s="6">
        <f>J607/J614</f>
        <v>0.92396313364055305</v>
      </c>
      <c r="L607" s="6">
        <f>401/$L$3</f>
        <v>0.92396313364055305</v>
      </c>
      <c r="N607">
        <v>70</v>
      </c>
      <c r="O607" s="6">
        <f>N607/N614</f>
        <v>0.86419753086419748</v>
      </c>
      <c r="P607" s="6">
        <f>70/$P$3</f>
        <v>0.86419753086419748</v>
      </c>
      <c r="R607">
        <v>490</v>
      </c>
      <c r="S607" s="6">
        <f>R607/R614</f>
        <v>0.875</v>
      </c>
      <c r="T607" s="6">
        <f>490/$T$3</f>
        <v>0.875</v>
      </c>
      <c r="V607">
        <v>493</v>
      </c>
      <c r="W607" s="6">
        <f>V607/V614</f>
        <v>0.91296296296296298</v>
      </c>
      <c r="X607" s="6">
        <f>493/$X$3</f>
        <v>0.91296296296296298</v>
      </c>
      <c r="Z607">
        <v>106</v>
      </c>
      <c r="AA607" s="6">
        <f>Z607/Z614</f>
        <v>0.93805309734513276</v>
      </c>
      <c r="AB607" s="6">
        <f>106/$AB$3</f>
        <v>0.93805309734513276</v>
      </c>
      <c r="AC607" s="7"/>
      <c r="AD607">
        <v>189</v>
      </c>
      <c r="AE607" s="6">
        <f>AD607/AD614</f>
        <v>0.95454545454545459</v>
      </c>
      <c r="AF607" s="9">
        <f>189/$AF$3</f>
        <v>0.95454545454545459</v>
      </c>
      <c r="AG607" s="7"/>
      <c r="AH607">
        <v>226</v>
      </c>
      <c r="AI607" s="6">
        <f>AH607/AH614</f>
        <v>0.91497975708502022</v>
      </c>
      <c r="AJ607" s="6">
        <f>226/$AJ$3</f>
        <v>0.91497975708502022</v>
      </c>
      <c r="AK607" s="7"/>
      <c r="AL607">
        <v>206</v>
      </c>
      <c r="AM607" s="6">
        <f>AL607/AL614</f>
        <v>0.88793103448275867</v>
      </c>
      <c r="AN607" s="6">
        <f>206/$AN$3</f>
        <v>0.88793103448275867</v>
      </c>
      <c r="AO607" s="7"/>
      <c r="AP607">
        <v>162</v>
      </c>
      <c r="AQ607" s="6">
        <f>AP607/AP614</f>
        <v>0.87096774193548387</v>
      </c>
      <c r="AR607" s="6">
        <f>162/$AR$3</f>
        <v>0.87096774193548387</v>
      </c>
      <c r="AT607">
        <v>94</v>
      </c>
      <c r="AU607" s="6">
        <f>AT607/AT614</f>
        <v>0.75806451612903225</v>
      </c>
      <c r="AV607" s="8">
        <f>94/$AV$3</f>
        <v>0.75806451612903225</v>
      </c>
      <c r="AX607">
        <v>366</v>
      </c>
      <c r="AY607" s="6">
        <f>AX607/AX614</f>
        <v>0.85116279069767442</v>
      </c>
      <c r="AZ607" s="6">
        <f>366/$AZ$3</f>
        <v>0.85116279069767442</v>
      </c>
      <c r="BB607">
        <v>390</v>
      </c>
      <c r="BC607" s="6">
        <f>BB607/BB614</f>
        <v>0.91121495327102808</v>
      </c>
      <c r="BD607" s="6">
        <f>390/$BD$3</f>
        <v>0.91121495327102808</v>
      </c>
      <c r="BF607">
        <v>227</v>
      </c>
      <c r="BG607" s="6">
        <f>BF607/BF614</f>
        <v>0.93801652892561982</v>
      </c>
      <c r="BH607" s="6">
        <f>227/$BH$3</f>
        <v>0.93801652892561982</v>
      </c>
      <c r="BI607" s="7" t="s">
        <v>3</v>
      </c>
      <c r="BJ607">
        <v>349</v>
      </c>
      <c r="BK607" s="6">
        <f>BJ607/BJ614</f>
        <v>0.86600496277915628</v>
      </c>
      <c r="BL607" s="6">
        <f>349/$BL$3</f>
        <v>0.86600496277915628</v>
      </c>
      <c r="BN607">
        <v>374</v>
      </c>
      <c r="BO607" s="6">
        <f>BN607/BN614</f>
        <v>0.88416075650118209</v>
      </c>
      <c r="BP607" s="6">
        <f>374/$BP$3</f>
        <v>0.88416075650118209</v>
      </c>
      <c r="BR607">
        <v>260</v>
      </c>
      <c r="BS607" s="6">
        <f>BR607/BR614</f>
        <v>0.94890510948905105</v>
      </c>
      <c r="BT607" s="9">
        <f>260/$BT$3</f>
        <v>0.94890510948905105</v>
      </c>
      <c r="BU607" s="7"/>
      <c r="BV607">
        <v>259</v>
      </c>
      <c r="BW607" s="6">
        <f>BV607/BV614</f>
        <v>0.84918032786885245</v>
      </c>
      <c r="BX607" s="6">
        <f>259/$BX$3</f>
        <v>0.84918032786885245</v>
      </c>
      <c r="BZ607">
        <v>196</v>
      </c>
      <c r="CA607" s="6">
        <f>BZ607/BZ614</f>
        <v>0.875</v>
      </c>
      <c r="CB607" s="6">
        <f>196/$CB$3</f>
        <v>0.875</v>
      </c>
      <c r="CD607">
        <v>217</v>
      </c>
      <c r="CE607" s="6">
        <f>CD607/CD614</f>
        <v>0.90041493775933612</v>
      </c>
      <c r="CF607" s="6">
        <f>217/$CF$3</f>
        <v>0.90041493775933612</v>
      </c>
      <c r="CH607">
        <v>311</v>
      </c>
      <c r="CI607" s="6">
        <f>CH607/CH614</f>
        <v>0.94242424242424239</v>
      </c>
      <c r="CJ607" s="6">
        <f>311/$CJ$3</f>
        <v>0.94242424242424239</v>
      </c>
      <c r="CK607" s="7"/>
    </row>
    <row r="608" spans="1:89" x14ac:dyDescent="0.35">
      <c r="A608" s="1" t="s">
        <v>1634</v>
      </c>
      <c r="B608">
        <v>538</v>
      </c>
      <c r="C608" s="6">
        <f>B608/B614</f>
        <v>0.48909090909090908</v>
      </c>
      <c r="D608" s="6">
        <f>538/$D$3</f>
        <v>0.48909090909090908</v>
      </c>
      <c r="F608">
        <v>476</v>
      </c>
      <c r="G608" s="6">
        <f>F608/F614</f>
        <v>0.52250274423710208</v>
      </c>
      <c r="H608" s="6">
        <f>476/$H$3</f>
        <v>0.52250274423710208</v>
      </c>
      <c r="J608">
        <v>240</v>
      </c>
      <c r="K608" s="6">
        <f>J608/J614</f>
        <v>0.55299539170506917</v>
      </c>
      <c r="L608" s="9">
        <f>240/$L$3</f>
        <v>0.55299539170506917</v>
      </c>
      <c r="N608">
        <v>46</v>
      </c>
      <c r="O608" s="6">
        <f>N608/N614</f>
        <v>0.5679012345679012</v>
      </c>
      <c r="P608" s="6">
        <f>46/$P$3</f>
        <v>0.5679012345679012</v>
      </c>
      <c r="R608">
        <v>272</v>
      </c>
      <c r="S608" s="6">
        <f>R608/R614</f>
        <v>0.48571428571428571</v>
      </c>
      <c r="T608" s="6">
        <f>272/$T$3</f>
        <v>0.48571428571428571</v>
      </c>
      <c r="V608">
        <v>266</v>
      </c>
      <c r="W608" s="6">
        <f>V608/V614</f>
        <v>0.49259259259259258</v>
      </c>
      <c r="X608" s="6">
        <f>266/$X$3</f>
        <v>0.49259259259259258</v>
      </c>
      <c r="Z608">
        <v>61</v>
      </c>
      <c r="AA608" s="6">
        <f>Z608/Z614</f>
        <v>0.53982300884955747</v>
      </c>
      <c r="AB608" s="6">
        <f>61/$AB$3</f>
        <v>0.53982300884955747</v>
      </c>
      <c r="AC608" s="7"/>
      <c r="AD608">
        <v>98</v>
      </c>
      <c r="AE608" s="6">
        <f>AD608/AD614</f>
        <v>0.49494949494949497</v>
      </c>
      <c r="AF608" s="6">
        <f>98/$AF$3</f>
        <v>0.49494949494949497</v>
      </c>
      <c r="AG608" s="7"/>
      <c r="AH608">
        <v>136</v>
      </c>
      <c r="AI608" s="6">
        <f>AH608/AH614</f>
        <v>0.55060728744939269</v>
      </c>
      <c r="AJ608" s="9">
        <f>136/$AJ$3</f>
        <v>0.55060728744939269</v>
      </c>
      <c r="AK608" s="7"/>
      <c r="AL608">
        <v>123</v>
      </c>
      <c r="AM608" s="6">
        <f>AL608/AL614</f>
        <v>0.53017241379310343</v>
      </c>
      <c r="AN608" s="6">
        <f>123/$AN$3</f>
        <v>0.53017241379310343</v>
      </c>
      <c r="AO608" s="7"/>
      <c r="AP608">
        <v>79</v>
      </c>
      <c r="AQ608" s="6">
        <f>AP608/AP614</f>
        <v>0.42473118279569894</v>
      </c>
      <c r="AR608" s="6">
        <f>79/$AR$3</f>
        <v>0.42473118279569894</v>
      </c>
      <c r="AT608">
        <v>41</v>
      </c>
      <c r="AU608" s="6">
        <f>AT608/AT614</f>
        <v>0.33064516129032256</v>
      </c>
      <c r="AV608" s="8">
        <f>41/$AV$3</f>
        <v>0.33064516129032256</v>
      </c>
      <c r="AX608">
        <v>190</v>
      </c>
      <c r="AY608" s="6">
        <f>AX608/AX614</f>
        <v>0.44186046511627908</v>
      </c>
      <c r="AZ608" s="6">
        <f>190/$AZ$3</f>
        <v>0.44186046511627908</v>
      </c>
      <c r="BB608">
        <v>235</v>
      </c>
      <c r="BC608" s="6">
        <f>BB608/BB614</f>
        <v>0.5490654205607477</v>
      </c>
      <c r="BD608" s="9">
        <f>235/$BD$3</f>
        <v>0.5490654205607477</v>
      </c>
      <c r="BE608" s="7" t="s">
        <v>3</v>
      </c>
      <c r="BF608">
        <v>113</v>
      </c>
      <c r="BG608" s="6">
        <f>BF608/BF614</f>
        <v>0.46694214876033058</v>
      </c>
      <c r="BH608" s="6">
        <f>113/$BH$3</f>
        <v>0.46694214876033058</v>
      </c>
      <c r="BJ608">
        <v>181</v>
      </c>
      <c r="BK608" s="6">
        <f>BJ608/BJ614</f>
        <v>0.4491315136476427</v>
      </c>
      <c r="BL608" s="6">
        <f>181/$BL$3</f>
        <v>0.4491315136476427</v>
      </c>
      <c r="BN608">
        <v>210</v>
      </c>
      <c r="BO608" s="6">
        <f>BN608/BN614</f>
        <v>0.49645390070921985</v>
      </c>
      <c r="BP608" s="6">
        <f>210/$BP$3</f>
        <v>0.49645390070921985</v>
      </c>
      <c r="BR608">
        <v>147</v>
      </c>
      <c r="BS608" s="6">
        <f>BR608/BR614</f>
        <v>0.53649635036496346</v>
      </c>
      <c r="BT608" s="6">
        <f>147/$BT$3</f>
        <v>0.53649635036496346</v>
      </c>
      <c r="BV608">
        <v>130</v>
      </c>
      <c r="BW608" s="6">
        <f>BV608/BV614</f>
        <v>0.42622950819672129</v>
      </c>
      <c r="BX608" s="8">
        <f>130/$BX$3</f>
        <v>0.42622950819672129</v>
      </c>
      <c r="BZ608">
        <v>107</v>
      </c>
      <c r="CA608" s="6">
        <f>BZ608/BZ614</f>
        <v>0.47767857142857145</v>
      </c>
      <c r="CB608" s="6">
        <f>107/$CB$3</f>
        <v>0.47767857142857145</v>
      </c>
      <c r="CD608">
        <v>122</v>
      </c>
      <c r="CE608" s="6">
        <f>CD608/CD614</f>
        <v>0.50622406639004147</v>
      </c>
      <c r="CF608" s="6">
        <f>122/$CF$3</f>
        <v>0.50622406639004147</v>
      </c>
      <c r="CH608">
        <v>179</v>
      </c>
      <c r="CI608" s="6">
        <f>CH608/CH614</f>
        <v>0.54242424242424248</v>
      </c>
      <c r="CJ608" s="9">
        <f>179/$CJ$3</f>
        <v>0.54242424242424248</v>
      </c>
      <c r="CK608" s="7"/>
    </row>
    <row r="609" spans="1:89" x14ac:dyDescent="0.35">
      <c r="A609" s="1" t="s">
        <v>1635</v>
      </c>
      <c r="B609">
        <v>831</v>
      </c>
      <c r="C609" s="6">
        <f>B609/B614</f>
        <v>0.75545454545454549</v>
      </c>
      <c r="D609" s="6">
        <f>831/$D$3</f>
        <v>0.75545454545454549</v>
      </c>
      <c r="F609">
        <v>719</v>
      </c>
      <c r="G609" s="6">
        <f>F609/F614</f>
        <v>0.78924259055982438</v>
      </c>
      <c r="H609" s="6">
        <f>719/$H$3</f>
        <v>0.78924259055982438</v>
      </c>
      <c r="J609">
        <v>341</v>
      </c>
      <c r="K609" s="6">
        <f>J609/J614</f>
        <v>0.7857142857142857</v>
      </c>
      <c r="L609" s="6">
        <f>341/$L$3</f>
        <v>0.7857142857142857</v>
      </c>
      <c r="N609">
        <v>64</v>
      </c>
      <c r="O609" s="6">
        <f>N609/N614</f>
        <v>0.79012345679012341</v>
      </c>
      <c r="P609" s="6">
        <f>64/$P$3</f>
        <v>0.79012345679012341</v>
      </c>
      <c r="R609">
        <v>415</v>
      </c>
      <c r="S609" s="6">
        <f>R609/R614</f>
        <v>0.7410714285714286</v>
      </c>
      <c r="T609" s="6">
        <f>415/$T$3</f>
        <v>0.7410714285714286</v>
      </c>
      <c r="V609">
        <v>416</v>
      </c>
      <c r="W609" s="6">
        <f>V609/V614</f>
        <v>0.77037037037037037</v>
      </c>
      <c r="X609" s="6">
        <f>416/$X$3</f>
        <v>0.77037037037037037</v>
      </c>
      <c r="Z609">
        <v>95</v>
      </c>
      <c r="AA609" s="6">
        <f>Z609/Z614</f>
        <v>0.84070796460176989</v>
      </c>
      <c r="AB609" s="9">
        <f>95/$AB$3</f>
        <v>0.84070796460176989</v>
      </c>
      <c r="AC609" s="7"/>
      <c r="AD609">
        <v>170</v>
      </c>
      <c r="AE609" s="6">
        <f>AD609/AD614</f>
        <v>0.85858585858585856</v>
      </c>
      <c r="AF609" s="9">
        <f>170/$AF$3</f>
        <v>0.85858585858585856</v>
      </c>
      <c r="AG609" s="7"/>
      <c r="AH609">
        <v>202</v>
      </c>
      <c r="AI609" s="6">
        <f>AH609/AH614</f>
        <v>0.81781376518218618</v>
      </c>
      <c r="AJ609" s="9">
        <f>202/$AJ$3</f>
        <v>0.81781376518218618</v>
      </c>
      <c r="AK609" s="7"/>
      <c r="AL609">
        <v>169</v>
      </c>
      <c r="AM609" s="6">
        <f>AL609/AL614</f>
        <v>0.72844827586206895</v>
      </c>
      <c r="AN609" s="6">
        <f>169/$AN$3</f>
        <v>0.72844827586206895</v>
      </c>
      <c r="AP609">
        <v>119</v>
      </c>
      <c r="AQ609" s="6">
        <f>AP609/AP614</f>
        <v>0.63978494623655913</v>
      </c>
      <c r="AR609" s="8">
        <f>119/$AR$3</f>
        <v>0.63978494623655913</v>
      </c>
      <c r="AT609">
        <v>76</v>
      </c>
      <c r="AU609" s="6">
        <f>AT609/AT614</f>
        <v>0.61290322580645162</v>
      </c>
      <c r="AV609" s="8">
        <f>76/$AV$3</f>
        <v>0.61290322580645162</v>
      </c>
      <c r="AX609">
        <v>296</v>
      </c>
      <c r="AY609" s="6">
        <f>AX609/AX614</f>
        <v>0.68837209302325586</v>
      </c>
      <c r="AZ609" s="8">
        <f>296/$AZ$3</f>
        <v>0.68837209302325586</v>
      </c>
      <c r="BB609">
        <v>344</v>
      </c>
      <c r="BC609" s="6">
        <f>BB609/BB614</f>
        <v>0.80373831775700932</v>
      </c>
      <c r="BD609" s="6">
        <f>344/$BD$3</f>
        <v>0.80373831775700932</v>
      </c>
      <c r="BE609" s="7" t="s">
        <v>3</v>
      </c>
      <c r="BF609">
        <v>191</v>
      </c>
      <c r="BG609" s="6">
        <f>BF609/BF614</f>
        <v>0.78925619834710747</v>
      </c>
      <c r="BH609" s="6">
        <f>191/$BH$3</f>
        <v>0.78925619834710747</v>
      </c>
      <c r="BI609" s="7" t="s">
        <v>3</v>
      </c>
      <c r="BJ609">
        <v>299</v>
      </c>
      <c r="BK609" s="6">
        <f>BJ609/BJ614</f>
        <v>0.74193548387096775</v>
      </c>
      <c r="BL609" s="6">
        <f>299/$BL$3</f>
        <v>0.74193548387096775</v>
      </c>
      <c r="BN609">
        <v>308</v>
      </c>
      <c r="BO609" s="6">
        <f>BN609/BN614</f>
        <v>0.72813238770685584</v>
      </c>
      <c r="BP609" s="6">
        <f>308/$BP$3</f>
        <v>0.72813238770685584</v>
      </c>
      <c r="BR609">
        <v>224</v>
      </c>
      <c r="BS609" s="6">
        <f>BR609/BR614</f>
        <v>0.81751824817518248</v>
      </c>
      <c r="BT609" s="9">
        <f>224/$BT$3</f>
        <v>0.81751824817518248</v>
      </c>
      <c r="BU609" s="7"/>
      <c r="BV609">
        <v>212</v>
      </c>
      <c r="BW609" s="6">
        <f>BV609/BV614</f>
        <v>0.69508196721311477</v>
      </c>
      <c r="BX609" s="8">
        <f>212/$BX$3</f>
        <v>0.69508196721311477</v>
      </c>
      <c r="BZ609">
        <v>167</v>
      </c>
      <c r="CA609" s="6">
        <f>BZ609/BZ614</f>
        <v>0.7455357142857143</v>
      </c>
      <c r="CB609" s="6">
        <f>167/$CB$3</f>
        <v>0.7455357142857143</v>
      </c>
      <c r="CD609">
        <v>183</v>
      </c>
      <c r="CE609" s="6">
        <f>CD609/CD614</f>
        <v>0.75933609958506221</v>
      </c>
      <c r="CF609" s="6">
        <f>183/$CF$3</f>
        <v>0.75933609958506221</v>
      </c>
      <c r="CH609">
        <v>269</v>
      </c>
      <c r="CI609" s="6">
        <f>CH609/CH614</f>
        <v>0.81515151515151518</v>
      </c>
      <c r="CJ609" s="9">
        <f>269/$CJ$3</f>
        <v>0.81515151515151518</v>
      </c>
      <c r="CK609" s="7"/>
    </row>
    <row r="610" spans="1:89" x14ac:dyDescent="0.35">
      <c r="A610" s="1" t="s">
        <v>18</v>
      </c>
      <c r="B610">
        <v>929</v>
      </c>
      <c r="C610" s="6">
        <f>B610/B614</f>
        <v>0.8445454545454546</v>
      </c>
      <c r="D610" s="6">
        <f>929/$D$3</f>
        <v>0.8445454545454546</v>
      </c>
      <c r="F610">
        <v>796</v>
      </c>
      <c r="G610" s="6">
        <f>F610/F614</f>
        <v>0.87376509330406149</v>
      </c>
      <c r="H610" s="6">
        <f>796/$H$3</f>
        <v>0.87376509330406149</v>
      </c>
      <c r="J610">
        <v>375</v>
      </c>
      <c r="K610" s="6">
        <f>J610/J614</f>
        <v>0.86405529953917048</v>
      </c>
      <c r="L610" s="6">
        <f>375/$L$3</f>
        <v>0.86405529953917048</v>
      </c>
      <c r="N610">
        <v>74</v>
      </c>
      <c r="O610" s="6">
        <f>N610/N614</f>
        <v>0.9135802469135802</v>
      </c>
      <c r="P610" s="6">
        <f>74/$P$3</f>
        <v>0.9135802469135802</v>
      </c>
      <c r="R610">
        <v>453</v>
      </c>
      <c r="S610" s="6">
        <f>R610/R614</f>
        <v>0.80892857142857144</v>
      </c>
      <c r="T610" s="6">
        <f>453/$T$3</f>
        <v>0.80892857142857144</v>
      </c>
      <c r="V610">
        <v>476</v>
      </c>
      <c r="W610" s="6">
        <f>V610/V614</f>
        <v>0.88148148148148153</v>
      </c>
      <c r="X610" s="6">
        <f>476/$X$3</f>
        <v>0.88148148148148153</v>
      </c>
      <c r="Z610">
        <v>97</v>
      </c>
      <c r="AA610" s="6">
        <f>Z610/Z614</f>
        <v>0.8584070796460177</v>
      </c>
      <c r="AB610" s="6">
        <f>97/$AB$3</f>
        <v>0.8584070796460177</v>
      </c>
      <c r="AD610">
        <v>174</v>
      </c>
      <c r="AE610" s="6">
        <f>AD610/AD614</f>
        <v>0.87878787878787878</v>
      </c>
      <c r="AF610" s="6">
        <f>174/$AF$3</f>
        <v>0.87878787878787878</v>
      </c>
      <c r="AH610">
        <v>213</v>
      </c>
      <c r="AI610" s="6">
        <f>AH610/AH614</f>
        <v>0.86234817813765186</v>
      </c>
      <c r="AJ610" s="6">
        <f>213/$AJ$3</f>
        <v>0.86234817813765186</v>
      </c>
      <c r="AL610">
        <v>198</v>
      </c>
      <c r="AM610" s="6">
        <f>AL610/AL614</f>
        <v>0.85344827586206895</v>
      </c>
      <c r="AN610" s="6">
        <f>198/$AN$3</f>
        <v>0.85344827586206895</v>
      </c>
      <c r="AP610">
        <v>150</v>
      </c>
      <c r="AQ610" s="6">
        <f>AP610/AP614</f>
        <v>0.80645161290322576</v>
      </c>
      <c r="AR610" s="6">
        <f>150/$AR$3</f>
        <v>0.80645161290322576</v>
      </c>
      <c r="AT610">
        <v>97</v>
      </c>
      <c r="AU610" s="6">
        <f>AT610/AT614</f>
        <v>0.782258064516129</v>
      </c>
      <c r="AV610" s="8">
        <f>97/$AV$3</f>
        <v>0.782258064516129</v>
      </c>
      <c r="AX610">
        <v>337</v>
      </c>
      <c r="AY610" s="6">
        <f>AX610/AX614</f>
        <v>0.78372093023255818</v>
      </c>
      <c r="AZ610" s="8">
        <f>337/$AZ$3</f>
        <v>0.78372093023255818</v>
      </c>
      <c r="BB610">
        <v>379</v>
      </c>
      <c r="BC610" s="6">
        <f>BB610/BB614</f>
        <v>0.88551401869158874</v>
      </c>
      <c r="BD610" s="6">
        <f>379/$BD$3</f>
        <v>0.88551401869158874</v>
      </c>
      <c r="BE610" s="7" t="s">
        <v>3</v>
      </c>
      <c r="BF610">
        <v>213</v>
      </c>
      <c r="BG610" s="6">
        <f>BF610/BF614</f>
        <v>0.8801652892561983</v>
      </c>
      <c r="BH610" s="6">
        <f>213/$BH$3</f>
        <v>0.8801652892561983</v>
      </c>
      <c r="BI610" s="7" t="s">
        <v>3</v>
      </c>
      <c r="BJ610">
        <v>331</v>
      </c>
      <c r="BK610" s="6">
        <f>BJ610/BJ614</f>
        <v>0.82133995037220842</v>
      </c>
      <c r="BL610" s="6">
        <f>331/$BL$3</f>
        <v>0.82133995037220842</v>
      </c>
      <c r="BN610">
        <v>359</v>
      </c>
      <c r="BO610" s="6">
        <f>BN610/BN614</f>
        <v>0.84869976359338062</v>
      </c>
      <c r="BP610" s="6">
        <f>359/$BP$3</f>
        <v>0.84869976359338062</v>
      </c>
      <c r="BR610">
        <v>239</v>
      </c>
      <c r="BS610" s="6">
        <f>BR610/BR614</f>
        <v>0.87226277372262773</v>
      </c>
      <c r="BT610" s="6">
        <f>239/$BT$3</f>
        <v>0.87226277372262773</v>
      </c>
      <c r="BV610">
        <v>246</v>
      </c>
      <c r="BW610" s="6">
        <f>BV610/BV614</f>
        <v>0.80655737704918029</v>
      </c>
      <c r="BX610" s="6">
        <f>246/$BX$3</f>
        <v>0.80655737704918029</v>
      </c>
      <c r="BZ610">
        <v>189</v>
      </c>
      <c r="CA610" s="6">
        <f>BZ610/BZ614</f>
        <v>0.84375</v>
      </c>
      <c r="CB610" s="6">
        <f>189/$CB$3</f>
        <v>0.84375</v>
      </c>
      <c r="CD610">
        <v>206</v>
      </c>
      <c r="CE610" s="6">
        <f>CD610/CD614</f>
        <v>0.85477178423236511</v>
      </c>
      <c r="CF610" s="6">
        <f>206/$CF$3</f>
        <v>0.85477178423236511</v>
      </c>
      <c r="CH610">
        <v>288</v>
      </c>
      <c r="CI610" s="6">
        <f>CH610/CH614</f>
        <v>0.87272727272727268</v>
      </c>
      <c r="CJ610" s="6">
        <f>288/$CJ$3</f>
        <v>0.87272727272727268</v>
      </c>
    </row>
    <row r="611" spans="1:89" x14ac:dyDescent="0.35">
      <c r="A611" s="1" t="s">
        <v>125</v>
      </c>
      <c r="B611">
        <v>773</v>
      </c>
      <c r="C611" s="6">
        <f>B611/B614</f>
        <v>0.70272727272727276</v>
      </c>
      <c r="D611" s="6">
        <f>773/$D$3</f>
        <v>0.70272727272727276</v>
      </c>
      <c r="F611">
        <v>671</v>
      </c>
      <c r="G611" s="6">
        <f>F611/F614</f>
        <v>0.73655323819978047</v>
      </c>
      <c r="H611" s="6">
        <f>671/$H$3</f>
        <v>0.73655323819978047</v>
      </c>
      <c r="J611">
        <v>320</v>
      </c>
      <c r="K611" s="6">
        <f>J611/J614</f>
        <v>0.73732718894009219</v>
      </c>
      <c r="L611" s="6">
        <f>320/$L$3</f>
        <v>0.73732718894009219</v>
      </c>
      <c r="N611">
        <v>59</v>
      </c>
      <c r="O611" s="6">
        <f>N611/N614</f>
        <v>0.72839506172839508</v>
      </c>
      <c r="P611" s="6">
        <f>59/$P$3</f>
        <v>0.72839506172839508</v>
      </c>
      <c r="R611">
        <v>369</v>
      </c>
      <c r="S611" s="6">
        <f>R611/R614</f>
        <v>0.65892857142857142</v>
      </c>
      <c r="T611" s="6">
        <f>369/$T$3</f>
        <v>0.65892857142857142</v>
      </c>
      <c r="V611">
        <v>404</v>
      </c>
      <c r="W611" s="6">
        <f>V611/V614</f>
        <v>0.74814814814814812</v>
      </c>
      <c r="X611" s="6">
        <f>404/$X$3</f>
        <v>0.74814814814814812</v>
      </c>
      <c r="Z611">
        <v>66</v>
      </c>
      <c r="AA611" s="6">
        <f>Z611/Z614</f>
        <v>0.58407079646017701</v>
      </c>
      <c r="AB611" s="8">
        <f>66/$AB$3</f>
        <v>0.58407079646017701</v>
      </c>
      <c r="AD611">
        <v>125</v>
      </c>
      <c r="AE611" s="6">
        <f>AD611/AD614</f>
        <v>0.63131313131313127</v>
      </c>
      <c r="AF611" s="8">
        <f>125/$AF$3</f>
        <v>0.63131313131313127</v>
      </c>
      <c r="AH611">
        <v>172</v>
      </c>
      <c r="AI611" s="6">
        <f>AH611/AH614</f>
        <v>0.69635627530364375</v>
      </c>
      <c r="AJ611" s="6">
        <f>172/$AJ$3</f>
        <v>0.69635627530364375</v>
      </c>
      <c r="AL611">
        <v>178</v>
      </c>
      <c r="AM611" s="6">
        <f>AL611/AL614</f>
        <v>0.76724137931034486</v>
      </c>
      <c r="AN611" s="9">
        <f>178/$AN$3</f>
        <v>0.76724137931034486</v>
      </c>
      <c r="AO611" s="7"/>
      <c r="AP611">
        <v>139</v>
      </c>
      <c r="AQ611" s="6">
        <f>AP611/AP614</f>
        <v>0.74731182795698925</v>
      </c>
      <c r="AR611" s="6">
        <f>139/$AR$3</f>
        <v>0.74731182795698925</v>
      </c>
      <c r="AS611" s="7"/>
      <c r="AT611">
        <v>93</v>
      </c>
      <c r="AU611" s="6">
        <f>AT611/AT614</f>
        <v>0.75</v>
      </c>
      <c r="AV611" s="6">
        <f>93/$AV$3</f>
        <v>0.75</v>
      </c>
      <c r="AX611">
        <v>286</v>
      </c>
      <c r="AY611" s="6">
        <f>AX611/AX614</f>
        <v>0.66511627906976745</v>
      </c>
      <c r="AZ611" s="6">
        <f>286/$AZ$3</f>
        <v>0.66511627906976745</v>
      </c>
      <c r="BB611">
        <v>325</v>
      </c>
      <c r="BC611" s="6">
        <f>BB611/BB614</f>
        <v>0.75934579439252337</v>
      </c>
      <c r="BD611" s="9">
        <f>325/$BD$3</f>
        <v>0.75934579439252337</v>
      </c>
      <c r="BE611" s="7" t="s">
        <v>3</v>
      </c>
      <c r="BF611">
        <v>162</v>
      </c>
      <c r="BG611" s="6">
        <f>BF611/BF614</f>
        <v>0.66942148760330578</v>
      </c>
      <c r="BH611" s="6">
        <f>162/$BH$3</f>
        <v>0.66942148760330578</v>
      </c>
      <c r="BJ611">
        <v>274</v>
      </c>
      <c r="BK611" s="6">
        <f>BJ611/BJ614</f>
        <v>0.67990074441687343</v>
      </c>
      <c r="BL611" s="6">
        <f>274/$BL$3</f>
        <v>0.67990074441687343</v>
      </c>
      <c r="BN611">
        <v>301</v>
      </c>
      <c r="BO611" s="6">
        <f>BN611/BN614</f>
        <v>0.71158392434988182</v>
      </c>
      <c r="BP611" s="6">
        <f>301/$BP$3</f>
        <v>0.71158392434988182</v>
      </c>
      <c r="BR611">
        <v>198</v>
      </c>
      <c r="BS611" s="6">
        <f>BR611/BR614</f>
        <v>0.72262773722627738</v>
      </c>
      <c r="BT611" s="6">
        <f>198/$BT$3</f>
        <v>0.72262773722627738</v>
      </c>
      <c r="BV611">
        <v>209</v>
      </c>
      <c r="BW611" s="6">
        <f>BV611/BV614</f>
        <v>0.68524590163934429</v>
      </c>
      <c r="BX611" s="6">
        <f>209/$BX$3</f>
        <v>0.68524590163934429</v>
      </c>
      <c r="BZ611">
        <v>161</v>
      </c>
      <c r="CA611" s="6">
        <f>BZ611/BZ614</f>
        <v>0.71875</v>
      </c>
      <c r="CB611" s="6">
        <f>161/$CB$3</f>
        <v>0.71875</v>
      </c>
      <c r="CD611">
        <v>167</v>
      </c>
      <c r="CE611" s="6">
        <f>CD611/CD614</f>
        <v>0.69294605809128629</v>
      </c>
      <c r="CF611" s="6">
        <f>167/$CF$3</f>
        <v>0.69294605809128629</v>
      </c>
      <c r="CH611">
        <v>236</v>
      </c>
      <c r="CI611" s="6">
        <f>CH611/CH614</f>
        <v>0.7151515151515152</v>
      </c>
      <c r="CJ611" s="6">
        <f>236/$CJ$3</f>
        <v>0.7151515151515152</v>
      </c>
    </row>
    <row r="612" spans="1:89" x14ac:dyDescent="0.35">
      <c r="A612" s="1" t="s">
        <v>1636</v>
      </c>
      <c r="B612">
        <v>55</v>
      </c>
      <c r="C612" s="6">
        <f>B612/B614</f>
        <v>0.05</v>
      </c>
      <c r="D612" s="6">
        <f>55/$D$3</f>
        <v>0.05</v>
      </c>
      <c r="F612">
        <v>31</v>
      </c>
      <c r="G612" s="6">
        <f>F612/F614</f>
        <v>3.4028540065861687E-2</v>
      </c>
      <c r="H612" s="6">
        <f>31/$H$3</f>
        <v>3.4028540065861687E-2</v>
      </c>
      <c r="J612">
        <v>18</v>
      </c>
      <c r="K612" s="6">
        <f>J612/J614</f>
        <v>4.1474654377880185E-2</v>
      </c>
      <c r="L612" s="6">
        <f>18/$L$3</f>
        <v>4.1474654377880185E-2</v>
      </c>
      <c r="N612">
        <v>3</v>
      </c>
      <c r="O612" s="6">
        <f>N612/N614</f>
        <v>3.7037037037037035E-2</v>
      </c>
      <c r="P612" s="6">
        <f>3/$P$3</f>
        <v>3.7037037037037035E-2</v>
      </c>
      <c r="R612">
        <v>35</v>
      </c>
      <c r="S612" s="6">
        <f>R612/R614</f>
        <v>6.25E-2</v>
      </c>
      <c r="T612" s="6">
        <f>35/$T$3</f>
        <v>6.25E-2</v>
      </c>
      <c r="V612">
        <v>20</v>
      </c>
      <c r="W612" s="6">
        <f>V612/V614</f>
        <v>3.7037037037037035E-2</v>
      </c>
      <c r="X612" s="6">
        <f>20/$X$3</f>
        <v>3.7037037037037035E-2</v>
      </c>
      <c r="Z612">
        <v>4</v>
      </c>
      <c r="AA612" s="6">
        <f>Z612/Z614</f>
        <v>3.5398230088495575E-2</v>
      </c>
      <c r="AB612" s="6">
        <f>4/$AB$3</f>
        <v>3.5398230088495575E-2</v>
      </c>
      <c r="AD612">
        <v>3</v>
      </c>
      <c r="AE612" s="6">
        <f>AD612/AD614</f>
        <v>1.5151515151515152E-2</v>
      </c>
      <c r="AF612" s="6">
        <f>3/$AF$3</f>
        <v>1.5151515151515152E-2</v>
      </c>
      <c r="AH612">
        <v>10</v>
      </c>
      <c r="AI612" s="6">
        <f>AH612/AH614</f>
        <v>4.048582995951417E-2</v>
      </c>
      <c r="AJ612" s="6">
        <f>10/$AJ$3</f>
        <v>4.048582995951417E-2</v>
      </c>
      <c r="AL612">
        <v>11</v>
      </c>
      <c r="AM612" s="6">
        <f>AL612/AL614</f>
        <v>4.7413793103448273E-2</v>
      </c>
      <c r="AN612" s="6">
        <f>11/$AN$3</f>
        <v>4.7413793103448273E-2</v>
      </c>
      <c r="AP612">
        <v>15</v>
      </c>
      <c r="AQ612" s="6">
        <f>AP612/AP614</f>
        <v>8.0645161290322578E-2</v>
      </c>
      <c r="AR612" s="6">
        <f>15/$AR$3</f>
        <v>8.0645161290322578E-2</v>
      </c>
      <c r="AS612" s="7"/>
      <c r="AT612">
        <v>12</v>
      </c>
      <c r="AU612" s="6">
        <f>AT612/AT614</f>
        <v>9.6774193548387094E-2</v>
      </c>
      <c r="AV612" s="6">
        <f>12/$AV$3</f>
        <v>9.6774193548387094E-2</v>
      </c>
      <c r="AW612" s="7"/>
      <c r="AX612">
        <v>28</v>
      </c>
      <c r="AY612" s="6">
        <f>AX612/AX614</f>
        <v>6.5116279069767441E-2</v>
      </c>
      <c r="AZ612" s="6">
        <f>28/$AZ$3</f>
        <v>6.5116279069767441E-2</v>
      </c>
      <c r="BB612">
        <v>18</v>
      </c>
      <c r="BC612" s="6">
        <f>BB612/BB614</f>
        <v>4.2056074766355138E-2</v>
      </c>
      <c r="BD612" s="6">
        <f>18/$BD$3</f>
        <v>4.2056074766355138E-2</v>
      </c>
      <c r="BF612">
        <v>9</v>
      </c>
      <c r="BG612" s="6">
        <f>BF612/BF614</f>
        <v>3.71900826446281E-2</v>
      </c>
      <c r="BH612" s="6">
        <f>9/$BH$3</f>
        <v>3.71900826446281E-2</v>
      </c>
      <c r="BJ612">
        <v>27</v>
      </c>
      <c r="BK612" s="6">
        <f>BJ612/BJ614</f>
        <v>6.699751861042183E-2</v>
      </c>
      <c r="BL612" s="6">
        <f>27/$BL$3</f>
        <v>6.699751861042183E-2</v>
      </c>
      <c r="BN612">
        <v>19</v>
      </c>
      <c r="BO612" s="6">
        <f>BN612/BN614</f>
        <v>4.4917257683215132E-2</v>
      </c>
      <c r="BP612" s="6">
        <f>19/$BP$3</f>
        <v>4.4917257683215132E-2</v>
      </c>
      <c r="BR612">
        <v>9</v>
      </c>
      <c r="BS612" s="6">
        <f>BR612/BR614</f>
        <v>3.2846715328467155E-2</v>
      </c>
      <c r="BT612" s="6">
        <f>9/$BT$3</f>
        <v>3.2846715328467155E-2</v>
      </c>
      <c r="BV612">
        <v>23</v>
      </c>
      <c r="BW612" s="6">
        <f>BV612/BV614</f>
        <v>7.5409836065573776E-2</v>
      </c>
      <c r="BX612" s="6">
        <f>23/$BX$3</f>
        <v>7.5409836065573776E-2</v>
      </c>
      <c r="BY612" s="7"/>
      <c r="BZ612">
        <v>13</v>
      </c>
      <c r="CA612" s="6">
        <f>BZ612/BZ614</f>
        <v>5.8035714285714288E-2</v>
      </c>
      <c r="CB612" s="6">
        <f>13/$CB$3</f>
        <v>5.8035714285714288E-2</v>
      </c>
      <c r="CD612">
        <v>13</v>
      </c>
      <c r="CE612" s="6">
        <f>CD612/CD614</f>
        <v>5.3941908713692949E-2</v>
      </c>
      <c r="CF612" s="6">
        <f>13/$CF$3</f>
        <v>5.3941908713692949E-2</v>
      </c>
      <c r="CH612">
        <v>6</v>
      </c>
      <c r="CI612" s="6">
        <f>CH612/CH614</f>
        <v>1.8181818181818181E-2</v>
      </c>
      <c r="CJ612" s="6">
        <f>6/$CJ$3</f>
        <v>1.8181818181818181E-2</v>
      </c>
    </row>
    <row r="613" spans="1:89" x14ac:dyDescent="0.35">
      <c r="A613" s="1" t="s">
        <v>409</v>
      </c>
      <c r="B613">
        <v>0</v>
      </c>
      <c r="C613" s="6">
        <f>B613/B614</f>
        <v>0</v>
      </c>
      <c r="D613" s="6">
        <f>0/$D$3</f>
        <v>0</v>
      </c>
      <c r="F613">
        <v>0</v>
      </c>
      <c r="G613" s="6">
        <f>F613/F614</f>
        <v>0</v>
      </c>
      <c r="H613" s="6">
        <f>0/$H$3</f>
        <v>0</v>
      </c>
      <c r="J613">
        <v>0</v>
      </c>
      <c r="K613" s="6">
        <f>J613/J614</f>
        <v>0</v>
      </c>
      <c r="L613" s="6">
        <f>0/$L$3</f>
        <v>0</v>
      </c>
      <c r="N613">
        <v>0</v>
      </c>
      <c r="O613" s="6">
        <f>N613/N614</f>
        <v>0</v>
      </c>
      <c r="P613" s="6">
        <f>0/$P$3</f>
        <v>0</v>
      </c>
      <c r="R613">
        <v>0</v>
      </c>
      <c r="S613" s="6">
        <f>R613/R614</f>
        <v>0</v>
      </c>
      <c r="T613" s="6">
        <f>0/$T$3</f>
        <v>0</v>
      </c>
      <c r="V613">
        <v>0</v>
      </c>
      <c r="W613" s="6">
        <f>V613/V614</f>
        <v>0</v>
      </c>
      <c r="X613" s="6">
        <f>0/$X$3</f>
        <v>0</v>
      </c>
      <c r="Z613">
        <v>0</v>
      </c>
      <c r="AA613" s="6">
        <f>Z613/Z614</f>
        <v>0</v>
      </c>
      <c r="AB613" s="6">
        <f>0/$AB$3</f>
        <v>0</v>
      </c>
      <c r="AD613">
        <v>0</v>
      </c>
      <c r="AE613" s="6">
        <f>AD613/AD614</f>
        <v>0</v>
      </c>
      <c r="AF613" s="6">
        <f>0/$AF$3</f>
        <v>0</v>
      </c>
      <c r="AH613">
        <v>0</v>
      </c>
      <c r="AI613" s="6">
        <f>AH613/AH614</f>
        <v>0</v>
      </c>
      <c r="AJ613" s="6">
        <f>0/$AJ$3</f>
        <v>0</v>
      </c>
      <c r="AL613">
        <v>0</v>
      </c>
      <c r="AM613" s="6">
        <f>AL613/AL614</f>
        <v>0</v>
      </c>
      <c r="AN613" s="6">
        <f>0/$AN$3</f>
        <v>0</v>
      </c>
      <c r="AP613">
        <v>0</v>
      </c>
      <c r="AQ613" s="6">
        <f>AP613/AP614</f>
        <v>0</v>
      </c>
      <c r="AR613" s="6">
        <f>0/$AR$3</f>
        <v>0</v>
      </c>
      <c r="AT613">
        <v>0</v>
      </c>
      <c r="AU613" s="6">
        <f>AT613/AT614</f>
        <v>0</v>
      </c>
      <c r="AV613" s="6">
        <f>0/$AV$3</f>
        <v>0</v>
      </c>
      <c r="AX613">
        <v>0</v>
      </c>
      <c r="AY613" s="6">
        <f>AX613/AX614</f>
        <v>0</v>
      </c>
      <c r="AZ613" s="6">
        <f>0/$AZ$3</f>
        <v>0</v>
      </c>
      <c r="BB613">
        <v>0</v>
      </c>
      <c r="BC613" s="6">
        <f>BB613/BB614</f>
        <v>0</v>
      </c>
      <c r="BD613" s="6">
        <f>0/$BD$3</f>
        <v>0</v>
      </c>
      <c r="BF613">
        <v>0</v>
      </c>
      <c r="BG613" s="6">
        <f>BF613/BF614</f>
        <v>0</v>
      </c>
      <c r="BH613" s="6">
        <f>0/$BH$3</f>
        <v>0</v>
      </c>
      <c r="BJ613">
        <v>0</v>
      </c>
      <c r="BK613" s="6">
        <f>BJ613/BJ614</f>
        <v>0</v>
      </c>
      <c r="BL613" s="6">
        <f>0/$BL$3</f>
        <v>0</v>
      </c>
      <c r="BN613">
        <v>0</v>
      </c>
      <c r="BO613" s="6">
        <f>BN613/BN614</f>
        <v>0</v>
      </c>
      <c r="BP613" s="6">
        <f>0/$BP$3</f>
        <v>0</v>
      </c>
      <c r="BR613">
        <v>0</v>
      </c>
      <c r="BS613" s="6">
        <f>BR613/BR614</f>
        <v>0</v>
      </c>
      <c r="BT613" s="6">
        <f>0/$BT$3</f>
        <v>0</v>
      </c>
      <c r="BV613">
        <v>0</v>
      </c>
      <c r="BW613" s="6">
        <f>BV613/BV614</f>
        <v>0</v>
      </c>
      <c r="BX613" s="6">
        <f>0/$BX$3</f>
        <v>0</v>
      </c>
      <c r="BZ613">
        <v>0</v>
      </c>
      <c r="CA613" s="6">
        <f>BZ613/BZ614</f>
        <v>0</v>
      </c>
      <c r="CB613" s="6">
        <f>0/$CB$3</f>
        <v>0</v>
      </c>
      <c r="CD613">
        <v>0</v>
      </c>
      <c r="CE613" s="6">
        <f>CD613/CD614</f>
        <v>0</v>
      </c>
      <c r="CF613" s="6">
        <f>0/$CF$3</f>
        <v>0</v>
      </c>
      <c r="CH613">
        <v>0</v>
      </c>
      <c r="CI613" s="6">
        <f>CH613/CH614</f>
        <v>0</v>
      </c>
      <c r="CJ613" s="6">
        <f>0/$CJ$3</f>
        <v>0</v>
      </c>
    </row>
    <row r="614" spans="1:89" s="10" customFormat="1" x14ac:dyDescent="0.35">
      <c r="A614" s="11" t="s">
        <v>411</v>
      </c>
      <c r="B614" s="10">
        <v>1100</v>
      </c>
      <c r="F614" s="10">
        <v>911</v>
      </c>
      <c r="J614" s="10">
        <v>434</v>
      </c>
      <c r="N614" s="10">
        <v>81</v>
      </c>
      <c r="R614" s="10">
        <v>560</v>
      </c>
      <c r="V614" s="10">
        <v>540</v>
      </c>
      <c r="Z614" s="10">
        <v>113</v>
      </c>
      <c r="AD614" s="10">
        <v>198</v>
      </c>
      <c r="AH614" s="10">
        <v>247</v>
      </c>
      <c r="AL614" s="10">
        <v>232</v>
      </c>
      <c r="AP614" s="10">
        <v>186</v>
      </c>
      <c r="AT614" s="10">
        <v>124</v>
      </c>
      <c r="AX614" s="10">
        <v>430</v>
      </c>
      <c r="BB614" s="10">
        <v>428</v>
      </c>
      <c r="BF614" s="10">
        <v>242</v>
      </c>
      <c r="BJ614" s="10">
        <v>403</v>
      </c>
      <c r="BN614" s="10">
        <v>423</v>
      </c>
      <c r="BR614" s="10">
        <v>274</v>
      </c>
      <c r="BV614" s="10">
        <v>305</v>
      </c>
      <c r="BZ614" s="10">
        <v>224</v>
      </c>
      <c r="CD614" s="10">
        <v>241</v>
      </c>
      <c r="CH614" s="10">
        <v>330</v>
      </c>
    </row>
    <row r="615" spans="1:89" hidden="1" x14ac:dyDescent="0.35">
      <c r="A615" s="12" t="s">
        <v>412</v>
      </c>
      <c r="B615">
        <v>0</v>
      </c>
      <c r="F615">
        <v>0</v>
      </c>
      <c r="J615">
        <v>0</v>
      </c>
      <c r="N615">
        <v>0</v>
      </c>
      <c r="R615">
        <v>0</v>
      </c>
      <c r="V615">
        <v>0</v>
      </c>
      <c r="Z615">
        <v>0</v>
      </c>
      <c r="AD615">
        <v>0</v>
      </c>
      <c r="AH615">
        <v>0</v>
      </c>
      <c r="AL615">
        <v>0</v>
      </c>
      <c r="AP615">
        <v>0</v>
      </c>
      <c r="AT615">
        <v>0</v>
      </c>
      <c r="AX615">
        <v>0</v>
      </c>
      <c r="BB615">
        <v>0</v>
      </c>
      <c r="BF615">
        <v>0</v>
      </c>
      <c r="BJ615">
        <v>0</v>
      </c>
      <c r="BN615">
        <v>0</v>
      </c>
      <c r="BR615">
        <v>0</v>
      </c>
      <c r="BV615">
        <v>0</v>
      </c>
      <c r="BZ615">
        <v>0</v>
      </c>
      <c r="CD615">
        <v>0</v>
      </c>
      <c r="CH615">
        <v>0</v>
      </c>
    </row>
    <row r="616" spans="1:89" hidden="1" x14ac:dyDescent="0.35">
      <c r="A616" s="12" t="s">
        <v>413</v>
      </c>
      <c r="B616">
        <v>0</v>
      </c>
      <c r="F616">
        <v>0</v>
      </c>
      <c r="J616">
        <v>0</v>
      </c>
      <c r="N616">
        <v>0</v>
      </c>
      <c r="R616">
        <v>0</v>
      </c>
      <c r="V616">
        <v>0</v>
      </c>
      <c r="Z616">
        <v>0</v>
      </c>
      <c r="AD616">
        <v>0</v>
      </c>
      <c r="AH616">
        <v>0</v>
      </c>
      <c r="AL616">
        <v>0</v>
      </c>
      <c r="AP616">
        <v>0</v>
      </c>
      <c r="AT616">
        <v>0</v>
      </c>
      <c r="AX616">
        <v>0</v>
      </c>
      <c r="BB616">
        <v>0</v>
      </c>
      <c r="BF616">
        <v>0</v>
      </c>
      <c r="BJ616">
        <v>0</v>
      </c>
      <c r="BN616">
        <v>0</v>
      </c>
      <c r="BR616">
        <v>0</v>
      </c>
      <c r="BV616">
        <v>0</v>
      </c>
      <c r="BZ616">
        <v>0</v>
      </c>
      <c r="CD616">
        <v>0</v>
      </c>
      <c r="CH616">
        <v>0</v>
      </c>
    </row>
    <row r="618" spans="1:89" x14ac:dyDescent="0.35">
      <c r="AB618" s="2" t="s">
        <v>3</v>
      </c>
      <c r="AF618" s="2" t="s">
        <v>4</v>
      </c>
      <c r="AJ618" s="2" t="s">
        <v>5</v>
      </c>
      <c r="AN618" s="2" t="s">
        <v>6</v>
      </c>
      <c r="AR618" s="2" t="s">
        <v>7</v>
      </c>
      <c r="AV618" s="2" t="s">
        <v>8</v>
      </c>
      <c r="AZ618" s="2" t="s">
        <v>3</v>
      </c>
      <c r="BD618" s="2" t="s">
        <v>4</v>
      </c>
      <c r="BH618" s="2" t="s">
        <v>5</v>
      </c>
      <c r="BL618" s="2" t="s">
        <v>3</v>
      </c>
      <c r="BP618" s="2" t="s">
        <v>4</v>
      </c>
      <c r="BT618" s="2" t="s">
        <v>5</v>
      </c>
      <c r="BX618" s="2" t="s">
        <v>3</v>
      </c>
      <c r="CB618" s="2" t="s">
        <v>4</v>
      </c>
      <c r="CF618" s="2" t="s">
        <v>5</v>
      </c>
      <c r="CJ618" s="2" t="s">
        <v>6</v>
      </c>
    </row>
    <row r="619" spans="1:89" s="3" customFormat="1" x14ac:dyDescent="0.35">
      <c r="A619" s="3" t="s">
        <v>1637</v>
      </c>
      <c r="D619" s="5" t="s">
        <v>406</v>
      </c>
      <c r="H619" s="5" t="s">
        <v>406</v>
      </c>
      <c r="L619" s="5" t="s">
        <v>406</v>
      </c>
      <c r="P619" s="5" t="s">
        <v>406</v>
      </c>
      <c r="T619" s="5" t="s">
        <v>406</v>
      </c>
      <c r="X619" s="5" t="s">
        <v>406</v>
      </c>
      <c r="AB619" s="5" t="s">
        <v>406</v>
      </c>
      <c r="AF619" s="5" t="s">
        <v>406</v>
      </c>
      <c r="AJ619" s="5" t="s">
        <v>406</v>
      </c>
      <c r="AN619" s="5" t="s">
        <v>406</v>
      </c>
      <c r="AR619" s="5" t="s">
        <v>406</v>
      </c>
      <c r="AV619" s="5" t="s">
        <v>406</v>
      </c>
      <c r="AZ619" s="5" t="s">
        <v>406</v>
      </c>
      <c r="BD619" s="5" t="s">
        <v>406</v>
      </c>
      <c r="BH619" s="5" t="s">
        <v>406</v>
      </c>
      <c r="BL619" s="5" t="s">
        <v>406</v>
      </c>
      <c r="BP619" s="5" t="s">
        <v>406</v>
      </c>
      <c r="BT619" s="5" t="s">
        <v>406</v>
      </c>
      <c r="BX619" s="5" t="s">
        <v>406</v>
      </c>
      <c r="CB619" s="5" t="s">
        <v>406</v>
      </c>
      <c r="CF619" s="5" t="s">
        <v>406</v>
      </c>
      <c r="CJ619" s="5" t="s">
        <v>406</v>
      </c>
    </row>
    <row r="620" spans="1:89" x14ac:dyDescent="0.35">
      <c r="A620" s="1" t="s">
        <v>15</v>
      </c>
      <c r="B620">
        <v>410</v>
      </c>
      <c r="C620" s="6">
        <f>B620/B627</f>
        <v>0.3923444976076555</v>
      </c>
      <c r="D620" s="6">
        <f>410/$D$3</f>
        <v>0.37272727272727274</v>
      </c>
      <c r="F620">
        <v>380</v>
      </c>
      <c r="G620" s="6">
        <f>F620/F627</f>
        <v>0.43181818181818182</v>
      </c>
      <c r="H620" s="6">
        <f>380/$H$3</f>
        <v>0.41712403951701427</v>
      </c>
      <c r="J620">
        <v>184</v>
      </c>
      <c r="K620" s="6">
        <f>J620/J627</f>
        <v>0.44230769230769229</v>
      </c>
      <c r="L620" s="9">
        <f>184/$L$3</f>
        <v>0.42396313364055299</v>
      </c>
      <c r="N620">
        <v>28</v>
      </c>
      <c r="O620" s="6">
        <f>N620/N627</f>
        <v>0.35897435897435898</v>
      </c>
      <c r="P620" s="6">
        <f>28/$P$3</f>
        <v>0.34567901234567899</v>
      </c>
      <c r="R620">
        <v>201</v>
      </c>
      <c r="S620" s="6">
        <f>R620/R627</f>
        <v>0.38285714285714284</v>
      </c>
      <c r="T620" s="6">
        <f>201/$T$3</f>
        <v>0.35892857142857143</v>
      </c>
      <c r="V620">
        <v>209</v>
      </c>
      <c r="W620" s="6">
        <f>V620/V627</f>
        <v>0.40192307692307694</v>
      </c>
      <c r="X620" s="6">
        <f>209/$X$3</f>
        <v>0.38703703703703701</v>
      </c>
      <c r="Z620">
        <v>67</v>
      </c>
      <c r="AA620" s="6">
        <f>Z620/Z627</f>
        <v>0.61467889908256879</v>
      </c>
      <c r="AB620" s="9">
        <f>67/$AB$3</f>
        <v>0.59292035398230092</v>
      </c>
      <c r="AC620" s="7"/>
      <c r="AD620">
        <v>104</v>
      </c>
      <c r="AE620" s="6">
        <f>AD620/AD627</f>
        <v>0.53333333333333333</v>
      </c>
      <c r="AF620" s="9">
        <f>104/$AF$3</f>
        <v>0.5252525252525253</v>
      </c>
      <c r="AG620" s="7"/>
      <c r="AH620">
        <v>106</v>
      </c>
      <c r="AI620" s="6">
        <f>AH620/AH627</f>
        <v>0.4472573839662447</v>
      </c>
      <c r="AJ620" s="9">
        <f>106/$AJ$3</f>
        <v>0.4291497975708502</v>
      </c>
      <c r="AK620" s="7"/>
      <c r="AL620">
        <v>72</v>
      </c>
      <c r="AM620" s="6">
        <f>AL620/AL627</f>
        <v>0.32579185520361992</v>
      </c>
      <c r="AN620" s="8">
        <f>72/$AN$3</f>
        <v>0.31034482758620691</v>
      </c>
      <c r="AO620" s="7"/>
      <c r="AP620">
        <v>44</v>
      </c>
      <c r="AQ620" s="6">
        <f>AP620/AP627</f>
        <v>0.25730994152046782</v>
      </c>
      <c r="AR620" s="8">
        <f>44/$AR$3</f>
        <v>0.23655913978494625</v>
      </c>
      <c r="AT620">
        <v>17</v>
      </c>
      <c r="AU620" s="6">
        <f>AT620/AT627</f>
        <v>0.15178571428571427</v>
      </c>
      <c r="AV620" s="8">
        <f>17/$AV$3</f>
        <v>0.13709677419354838</v>
      </c>
      <c r="AX620">
        <v>142</v>
      </c>
      <c r="AY620" s="6">
        <f>AX620/AX627</f>
        <v>0.35323383084577115</v>
      </c>
      <c r="AZ620" s="6">
        <f>142/$AZ$3</f>
        <v>0.33023255813953489</v>
      </c>
      <c r="BB620">
        <v>158</v>
      </c>
      <c r="BC620" s="6">
        <f>BB620/BB627</f>
        <v>0.38536585365853659</v>
      </c>
      <c r="BD620" s="6">
        <f>158/$BD$3</f>
        <v>0.36915887850467288</v>
      </c>
      <c r="BF620">
        <v>110</v>
      </c>
      <c r="BG620" s="6">
        <f>BF620/BF627</f>
        <v>0.47210300429184548</v>
      </c>
      <c r="BH620" s="9">
        <f>110/$BH$3</f>
        <v>0.45454545454545453</v>
      </c>
      <c r="BI620" s="7" t="s">
        <v>3</v>
      </c>
      <c r="BJ620">
        <v>149</v>
      </c>
      <c r="BK620" s="6">
        <f>BJ620/BJ627</f>
        <v>0.39627659574468083</v>
      </c>
      <c r="BL620" s="6">
        <f>149/$BL$3</f>
        <v>0.36972704714640198</v>
      </c>
      <c r="BN620">
        <v>146</v>
      </c>
      <c r="BO620" s="6">
        <f>BN620/BN627</f>
        <v>0.36138613861386137</v>
      </c>
      <c r="BP620" s="6">
        <f>146/$BP$3</f>
        <v>0.34515366430260047</v>
      </c>
      <c r="BR620">
        <v>115</v>
      </c>
      <c r="BS620" s="6">
        <f>BR620/BR627</f>
        <v>0.43396226415094341</v>
      </c>
      <c r="BT620" s="6">
        <f>115/$BT$3</f>
        <v>0.41970802919708028</v>
      </c>
      <c r="BV620">
        <v>104</v>
      </c>
      <c r="BW620" s="6">
        <f>BV620/BV627</f>
        <v>0.36879432624113473</v>
      </c>
      <c r="BX620" s="6">
        <f>104/$BX$3</f>
        <v>0.34098360655737703</v>
      </c>
      <c r="BZ620">
        <v>83</v>
      </c>
      <c r="CA620" s="6">
        <f>BZ620/BZ627</f>
        <v>0.39336492890995262</v>
      </c>
      <c r="CB620" s="6">
        <f>83/$CB$3</f>
        <v>0.3705357142857143</v>
      </c>
      <c r="CD620">
        <v>95</v>
      </c>
      <c r="CE620" s="6">
        <f>CD620/CD627</f>
        <v>0.41666666666666669</v>
      </c>
      <c r="CF620" s="6">
        <f>95/$CF$3</f>
        <v>0.39419087136929459</v>
      </c>
      <c r="CH620">
        <v>128</v>
      </c>
      <c r="CI620" s="6">
        <f>CH620/CH627</f>
        <v>0.39506172839506171</v>
      </c>
      <c r="CJ620" s="6">
        <f>128/$CJ$3</f>
        <v>0.38787878787878788</v>
      </c>
    </row>
    <row r="621" spans="1:89" x14ac:dyDescent="0.35">
      <c r="A621" s="1" t="s">
        <v>1634</v>
      </c>
      <c r="B621">
        <v>134</v>
      </c>
      <c r="C621" s="6">
        <f>B621/B627</f>
        <v>0.12822966507177033</v>
      </c>
      <c r="D621" s="6">
        <f>134/$D$3</f>
        <v>0.12181818181818181</v>
      </c>
      <c r="F621">
        <v>126</v>
      </c>
      <c r="G621" s="6">
        <f>F621/F627</f>
        <v>0.14318181818181819</v>
      </c>
      <c r="H621" s="6">
        <f>126/$H$3</f>
        <v>0.13830954994511527</v>
      </c>
      <c r="J621">
        <v>80</v>
      </c>
      <c r="K621" s="6">
        <f>J621/J627</f>
        <v>0.19230769230769232</v>
      </c>
      <c r="L621" s="9">
        <f>80/$L$3</f>
        <v>0.18433179723502305</v>
      </c>
      <c r="N621">
        <v>7</v>
      </c>
      <c r="O621" s="6">
        <f>N621/N627</f>
        <v>8.9743589743589744E-2</v>
      </c>
      <c r="P621" s="6">
        <f>7/$P$3</f>
        <v>8.6419753086419748E-2</v>
      </c>
      <c r="R621">
        <v>79</v>
      </c>
      <c r="S621" s="6">
        <f>R621/R627</f>
        <v>0.15047619047619049</v>
      </c>
      <c r="T621" s="6">
        <f>79/$T$3</f>
        <v>0.14107142857142857</v>
      </c>
      <c r="V621">
        <v>55</v>
      </c>
      <c r="W621" s="6">
        <f>V621/V627</f>
        <v>0.10576923076923077</v>
      </c>
      <c r="X621" s="6">
        <f>55/$X$3</f>
        <v>0.10185185185185185</v>
      </c>
      <c r="Z621">
        <v>22</v>
      </c>
      <c r="AA621" s="6">
        <f>Z621/Z627</f>
        <v>0.20183486238532111</v>
      </c>
      <c r="AB621" s="9">
        <f>22/$AB$3</f>
        <v>0.19469026548672566</v>
      </c>
      <c r="AC621" s="7"/>
      <c r="AD621">
        <v>38</v>
      </c>
      <c r="AE621" s="6">
        <f>AD621/AD627</f>
        <v>0.19487179487179487</v>
      </c>
      <c r="AF621" s="9">
        <f>38/$AF$3</f>
        <v>0.19191919191919191</v>
      </c>
      <c r="AG621" s="7"/>
      <c r="AH621">
        <v>31</v>
      </c>
      <c r="AI621" s="6">
        <f>AH621/AH627</f>
        <v>0.13080168776371309</v>
      </c>
      <c r="AJ621" s="6">
        <f>31/$AJ$3</f>
        <v>0.12550607287449392</v>
      </c>
      <c r="AL621">
        <v>27</v>
      </c>
      <c r="AM621" s="6">
        <f>AL621/AL627</f>
        <v>0.12217194570135746</v>
      </c>
      <c r="AN621" s="6">
        <f>27/$AN$3</f>
        <v>0.11637931034482758</v>
      </c>
      <c r="AP621">
        <v>10</v>
      </c>
      <c r="AQ621" s="6">
        <f>AP621/AP627</f>
        <v>5.8479532163742687E-2</v>
      </c>
      <c r="AR621" s="8">
        <f>10/$AR$3</f>
        <v>5.3763440860215055E-2</v>
      </c>
      <c r="AT621">
        <v>6</v>
      </c>
      <c r="AU621" s="6">
        <f>AT621/AT627</f>
        <v>5.3571428571428568E-2</v>
      </c>
      <c r="AV621" s="8">
        <f>6/$AV$3</f>
        <v>4.8387096774193547E-2</v>
      </c>
      <c r="AX621">
        <v>46</v>
      </c>
      <c r="AY621" s="6">
        <f>AX621/AX627</f>
        <v>0.11442786069651742</v>
      </c>
      <c r="AZ621" s="6">
        <f>46/$AZ$3</f>
        <v>0.10697674418604651</v>
      </c>
      <c r="BB621">
        <v>57</v>
      </c>
      <c r="BC621" s="6">
        <f>BB621/BB627</f>
        <v>0.13902439024390245</v>
      </c>
      <c r="BD621" s="6">
        <f>57/$BD$3</f>
        <v>0.13317757009345793</v>
      </c>
      <c r="BF621">
        <v>31</v>
      </c>
      <c r="BG621" s="6">
        <f>BF621/BF627</f>
        <v>0.13304721030042918</v>
      </c>
      <c r="BH621" s="6">
        <f>31/$BH$3</f>
        <v>0.128099173553719</v>
      </c>
      <c r="BJ621">
        <v>44</v>
      </c>
      <c r="BK621" s="6">
        <f>BJ621/BJ627</f>
        <v>0.11702127659574468</v>
      </c>
      <c r="BL621" s="6">
        <f>44/$BL$3</f>
        <v>0.10918114143920596</v>
      </c>
      <c r="BN621">
        <v>48</v>
      </c>
      <c r="BO621" s="6">
        <f>BN621/BN627</f>
        <v>0.11881188118811881</v>
      </c>
      <c r="BP621" s="6">
        <f>48/$BP$3</f>
        <v>0.11347517730496454</v>
      </c>
      <c r="BR621">
        <v>42</v>
      </c>
      <c r="BS621" s="6">
        <f>BR621/BR627</f>
        <v>0.15849056603773584</v>
      </c>
      <c r="BT621" s="6">
        <f>42/$BT$3</f>
        <v>0.15328467153284672</v>
      </c>
      <c r="BV621">
        <v>30</v>
      </c>
      <c r="BW621" s="6">
        <f>BV621/BV627</f>
        <v>0.10638297872340426</v>
      </c>
      <c r="BX621" s="6">
        <f>30/$BX$3</f>
        <v>9.8360655737704916E-2</v>
      </c>
      <c r="BZ621">
        <v>24</v>
      </c>
      <c r="CA621" s="6">
        <f>BZ621/BZ627</f>
        <v>0.11374407582938388</v>
      </c>
      <c r="CB621" s="6">
        <f>24/$CB$3</f>
        <v>0.10714285714285714</v>
      </c>
      <c r="CD621">
        <v>31</v>
      </c>
      <c r="CE621" s="6">
        <f>CD621/CD627</f>
        <v>0.13596491228070176</v>
      </c>
      <c r="CF621" s="6">
        <f>31/$CF$3</f>
        <v>0.12863070539419086</v>
      </c>
      <c r="CH621">
        <v>49</v>
      </c>
      <c r="CI621" s="6">
        <f>CH621/CH627</f>
        <v>0.15123456790123457</v>
      </c>
      <c r="CJ621" s="6">
        <f>49/$CJ$3</f>
        <v>0.1484848484848485</v>
      </c>
    </row>
    <row r="622" spans="1:89" x14ac:dyDescent="0.35">
      <c r="A622" s="1" t="s">
        <v>1635</v>
      </c>
      <c r="B622">
        <v>134</v>
      </c>
      <c r="C622" s="6">
        <f>B622/B627</f>
        <v>0.12822966507177033</v>
      </c>
      <c r="D622" s="6">
        <f>134/$D$3</f>
        <v>0.12181818181818181</v>
      </c>
      <c r="F622">
        <v>126</v>
      </c>
      <c r="G622" s="6">
        <f>F622/F627</f>
        <v>0.14318181818181819</v>
      </c>
      <c r="H622" s="6">
        <f>126/$H$3</f>
        <v>0.13830954994511527</v>
      </c>
      <c r="J622">
        <v>69</v>
      </c>
      <c r="K622" s="6">
        <f>J622/J627</f>
        <v>0.16586538461538461</v>
      </c>
      <c r="L622" s="6">
        <f>69/$L$3</f>
        <v>0.15898617511520738</v>
      </c>
      <c r="N622">
        <v>7</v>
      </c>
      <c r="O622" s="6">
        <f>N622/N627</f>
        <v>8.9743589743589744E-2</v>
      </c>
      <c r="P622" s="6">
        <f>7/$P$3</f>
        <v>8.6419753086419748E-2</v>
      </c>
      <c r="R622">
        <v>74</v>
      </c>
      <c r="S622" s="6">
        <f>R622/R627</f>
        <v>0.14095238095238094</v>
      </c>
      <c r="T622" s="6">
        <f>74/$T$3</f>
        <v>0.13214285714285715</v>
      </c>
      <c r="V622">
        <v>60</v>
      </c>
      <c r="W622" s="6">
        <f>V622/V627</f>
        <v>0.11538461538461539</v>
      </c>
      <c r="X622" s="6">
        <f>60/$X$3</f>
        <v>0.1111111111111111</v>
      </c>
      <c r="Z622">
        <v>25</v>
      </c>
      <c r="AA622" s="6">
        <f>Z622/Z627</f>
        <v>0.22935779816513763</v>
      </c>
      <c r="AB622" s="9">
        <f>25/$AB$3</f>
        <v>0.22123893805309736</v>
      </c>
      <c r="AC622" s="7"/>
      <c r="AD622">
        <v>43</v>
      </c>
      <c r="AE622" s="6">
        <f>AD622/AD627</f>
        <v>0.22051282051282051</v>
      </c>
      <c r="AF622" s="9">
        <f>43/$AF$3</f>
        <v>0.21717171717171718</v>
      </c>
      <c r="AG622" s="7"/>
      <c r="AH622">
        <v>39</v>
      </c>
      <c r="AI622" s="6">
        <f>AH622/AH627</f>
        <v>0.16455696202531644</v>
      </c>
      <c r="AJ622" s="6">
        <f>39/$AJ$3</f>
        <v>0.15789473684210525</v>
      </c>
      <c r="AK622" s="7"/>
      <c r="AL622">
        <v>15</v>
      </c>
      <c r="AM622" s="6">
        <f>AL622/AL627</f>
        <v>6.7873303167420809E-2</v>
      </c>
      <c r="AN622" s="8">
        <f>15/$AN$3</f>
        <v>6.4655172413793108E-2</v>
      </c>
      <c r="AP622">
        <v>9</v>
      </c>
      <c r="AQ622" s="6">
        <f>AP622/AP627</f>
        <v>5.2631578947368418E-2</v>
      </c>
      <c r="AR622" s="8">
        <f>9/$AR$3</f>
        <v>4.8387096774193547E-2</v>
      </c>
      <c r="AT622">
        <v>3</v>
      </c>
      <c r="AU622" s="6">
        <f>AT622/AT627</f>
        <v>2.6785714285714284E-2</v>
      </c>
      <c r="AV622" s="8">
        <f>3/$AV$3</f>
        <v>2.4193548387096774E-2</v>
      </c>
      <c r="AX622">
        <v>48</v>
      </c>
      <c r="AY622" s="6">
        <f>AX622/AX627</f>
        <v>0.11940298507462686</v>
      </c>
      <c r="AZ622" s="6">
        <f>48/$AZ$3</f>
        <v>0.11162790697674418</v>
      </c>
      <c r="BB622">
        <v>54</v>
      </c>
      <c r="BC622" s="6">
        <f>BB622/BB627</f>
        <v>0.13170731707317074</v>
      </c>
      <c r="BD622" s="6">
        <f>54/$BD$3</f>
        <v>0.12616822429906541</v>
      </c>
      <c r="BF622">
        <v>32</v>
      </c>
      <c r="BG622" s="6">
        <f>BF622/BF627</f>
        <v>0.13733905579399142</v>
      </c>
      <c r="BH622" s="6">
        <f>32/$BH$3</f>
        <v>0.13223140495867769</v>
      </c>
      <c r="BJ622">
        <v>47</v>
      </c>
      <c r="BK622" s="6">
        <f>BJ622/BJ627</f>
        <v>0.125</v>
      </c>
      <c r="BL622" s="6">
        <f>47/$BL$3</f>
        <v>0.11662531017369727</v>
      </c>
      <c r="BN622">
        <v>47</v>
      </c>
      <c r="BO622" s="6">
        <f>BN622/BN627</f>
        <v>0.11633663366336634</v>
      </c>
      <c r="BP622" s="6">
        <f>47/$BP$3</f>
        <v>0.1111111111111111</v>
      </c>
      <c r="BR622">
        <v>40</v>
      </c>
      <c r="BS622" s="6">
        <f>BR622/BR627</f>
        <v>0.15094339622641509</v>
      </c>
      <c r="BT622" s="6">
        <f>40/$BT$3</f>
        <v>0.145985401459854</v>
      </c>
      <c r="BV622">
        <v>31</v>
      </c>
      <c r="BW622" s="6">
        <f>BV622/BV627</f>
        <v>0.1099290780141844</v>
      </c>
      <c r="BX622" s="6">
        <f>31/$BX$3</f>
        <v>0.10163934426229508</v>
      </c>
      <c r="BZ622">
        <v>27</v>
      </c>
      <c r="CA622" s="6">
        <f>BZ622/BZ627</f>
        <v>0.12796208530805686</v>
      </c>
      <c r="CB622" s="6">
        <f>27/$CB$3</f>
        <v>0.12053571428571429</v>
      </c>
      <c r="CD622">
        <v>30</v>
      </c>
      <c r="CE622" s="6">
        <f>CD622/CD627</f>
        <v>0.13157894736842105</v>
      </c>
      <c r="CF622" s="6">
        <f>30/$CF$3</f>
        <v>0.12448132780082988</v>
      </c>
      <c r="CH622">
        <v>46</v>
      </c>
      <c r="CI622" s="6">
        <f>CH622/CH627</f>
        <v>0.1419753086419753</v>
      </c>
      <c r="CJ622" s="6">
        <f>46/$CJ$3</f>
        <v>0.1393939393939394</v>
      </c>
    </row>
    <row r="623" spans="1:89" x14ac:dyDescent="0.35">
      <c r="A623" s="1" t="s">
        <v>18</v>
      </c>
      <c r="B623">
        <v>253</v>
      </c>
      <c r="C623" s="6">
        <f>B623/B627</f>
        <v>0.24210526315789474</v>
      </c>
      <c r="D623" s="6">
        <f>253/$D$3</f>
        <v>0.23</v>
      </c>
      <c r="F623">
        <v>232</v>
      </c>
      <c r="G623" s="6">
        <f>F623/F627</f>
        <v>0.26363636363636361</v>
      </c>
      <c r="H623" s="6">
        <f>232/$H$3</f>
        <v>0.25466520307354557</v>
      </c>
      <c r="J623">
        <v>127</v>
      </c>
      <c r="K623" s="6">
        <f>J623/J627</f>
        <v>0.30528846153846156</v>
      </c>
      <c r="L623" s="9">
        <f>127/$L$3</f>
        <v>0.29262672811059909</v>
      </c>
      <c r="N623">
        <v>20</v>
      </c>
      <c r="O623" s="6">
        <f>N623/N627</f>
        <v>0.25641025641025639</v>
      </c>
      <c r="P623" s="6">
        <f>20/$P$3</f>
        <v>0.24691358024691357</v>
      </c>
      <c r="R623">
        <v>108</v>
      </c>
      <c r="S623" s="6">
        <f>R623/R627</f>
        <v>0.20571428571428571</v>
      </c>
      <c r="T623" s="6">
        <f>108/$T$3</f>
        <v>0.19285714285714287</v>
      </c>
      <c r="V623">
        <v>145</v>
      </c>
      <c r="W623" s="6">
        <f>V623/V627</f>
        <v>0.27884615384615385</v>
      </c>
      <c r="X623" s="6">
        <f>145/$X$3</f>
        <v>0.26851851851851855</v>
      </c>
      <c r="Z623">
        <v>41</v>
      </c>
      <c r="AA623" s="6">
        <f>Z623/Z627</f>
        <v>0.37614678899082571</v>
      </c>
      <c r="AB623" s="9">
        <f>41/$AB$3</f>
        <v>0.36283185840707965</v>
      </c>
      <c r="AC623" s="7"/>
      <c r="AD623">
        <v>63</v>
      </c>
      <c r="AE623" s="6">
        <f>AD623/AD627</f>
        <v>0.32307692307692309</v>
      </c>
      <c r="AF623" s="9">
        <f>63/$AF$3</f>
        <v>0.31818181818181818</v>
      </c>
      <c r="AG623" s="7"/>
      <c r="AH623">
        <v>58</v>
      </c>
      <c r="AI623" s="6">
        <f>AH623/AH627</f>
        <v>0.24472573839662448</v>
      </c>
      <c r="AJ623" s="6">
        <f>58/$AJ$3</f>
        <v>0.23481781376518218</v>
      </c>
      <c r="AK623" s="7"/>
      <c r="AL623">
        <v>47</v>
      </c>
      <c r="AM623" s="6">
        <f>AL623/AL627</f>
        <v>0.21266968325791855</v>
      </c>
      <c r="AN623" s="6">
        <f>47/$AN$3</f>
        <v>0.20258620689655171</v>
      </c>
      <c r="AP623">
        <v>31</v>
      </c>
      <c r="AQ623" s="6">
        <f>AP623/AP627</f>
        <v>0.18128654970760233</v>
      </c>
      <c r="AR623" s="8">
        <f>31/$AR$3</f>
        <v>0.16666666666666666</v>
      </c>
      <c r="AT623">
        <v>13</v>
      </c>
      <c r="AU623" s="6">
        <f>AT623/AT627</f>
        <v>0.11607142857142858</v>
      </c>
      <c r="AV623" s="8">
        <f>13/$AV$3</f>
        <v>0.10483870967741936</v>
      </c>
      <c r="AX623">
        <v>110</v>
      </c>
      <c r="AY623" s="6">
        <f>AX623/AX627</f>
        <v>0.27363184079601988</v>
      </c>
      <c r="AZ623" s="6">
        <f>110/$AZ$3</f>
        <v>0.2558139534883721</v>
      </c>
      <c r="BB623">
        <v>98</v>
      </c>
      <c r="BC623" s="6">
        <f>BB623/BB627</f>
        <v>0.23902439024390243</v>
      </c>
      <c r="BD623" s="6">
        <f>98/$BD$3</f>
        <v>0.22897196261682243</v>
      </c>
      <c r="BF623">
        <v>45</v>
      </c>
      <c r="BG623" s="6">
        <f>BF623/BF627</f>
        <v>0.19313304721030042</v>
      </c>
      <c r="BH623" s="6">
        <f>45/$BH$3</f>
        <v>0.18595041322314049</v>
      </c>
      <c r="BJ623">
        <v>105</v>
      </c>
      <c r="BK623" s="6">
        <f>BJ623/BJ627</f>
        <v>0.27925531914893614</v>
      </c>
      <c r="BL623" s="6">
        <f>105/$BL$3</f>
        <v>0.26054590570719605</v>
      </c>
      <c r="BN623">
        <v>86</v>
      </c>
      <c r="BO623" s="6">
        <f>BN623/BN627</f>
        <v>0.21287128712871287</v>
      </c>
      <c r="BP623" s="6">
        <f>86/$BP$3</f>
        <v>0.20330969267139479</v>
      </c>
      <c r="BR623">
        <v>62</v>
      </c>
      <c r="BS623" s="6">
        <f>BR623/BR627</f>
        <v>0.2339622641509434</v>
      </c>
      <c r="BT623" s="6">
        <f>62/$BT$3</f>
        <v>0.22627737226277372</v>
      </c>
      <c r="BV623">
        <v>75</v>
      </c>
      <c r="BW623" s="6">
        <f>BV623/BV627</f>
        <v>0.26595744680851063</v>
      </c>
      <c r="BX623" s="6">
        <f>75/$BX$3</f>
        <v>0.24590163934426229</v>
      </c>
      <c r="BZ623">
        <v>46</v>
      </c>
      <c r="CA623" s="6">
        <f>BZ623/BZ627</f>
        <v>0.21800947867298578</v>
      </c>
      <c r="CB623" s="6">
        <f>46/$CB$3</f>
        <v>0.20535714285714285</v>
      </c>
      <c r="CD623">
        <v>59</v>
      </c>
      <c r="CE623" s="6">
        <f>CD623/CD627</f>
        <v>0.25877192982456143</v>
      </c>
      <c r="CF623" s="6">
        <f>59/$CF$3</f>
        <v>0.24481327800829875</v>
      </c>
      <c r="CH623">
        <v>73</v>
      </c>
      <c r="CI623" s="6">
        <f>CH623/CH627</f>
        <v>0.22530864197530864</v>
      </c>
      <c r="CJ623" s="6">
        <f>73/$CJ$3</f>
        <v>0.22121212121212122</v>
      </c>
    </row>
    <row r="624" spans="1:89" x14ac:dyDescent="0.35">
      <c r="A624" s="1" t="s">
        <v>125</v>
      </c>
      <c r="B624">
        <v>51</v>
      </c>
      <c r="C624" s="6">
        <f>B624/B627</f>
        <v>4.8803827751196169E-2</v>
      </c>
      <c r="D624" s="6">
        <f>51/$D$3</f>
        <v>4.6363636363636364E-2</v>
      </c>
      <c r="F624">
        <v>49</v>
      </c>
      <c r="G624" s="6">
        <f>F624/F627</f>
        <v>5.568181818181818E-2</v>
      </c>
      <c r="H624" s="6">
        <f>49/$H$3</f>
        <v>5.3787047200878159E-2</v>
      </c>
      <c r="J624">
        <v>32</v>
      </c>
      <c r="K624" s="6">
        <f>J624/J627</f>
        <v>7.6923076923076927E-2</v>
      </c>
      <c r="L624" s="6">
        <f>32/$L$3</f>
        <v>7.3732718894009217E-2</v>
      </c>
      <c r="N624">
        <v>2</v>
      </c>
      <c r="O624" s="6">
        <f>N624/N627</f>
        <v>2.564102564102564E-2</v>
      </c>
      <c r="P624" s="6">
        <f>2/$P$3</f>
        <v>2.4691358024691357E-2</v>
      </c>
      <c r="R624">
        <v>25</v>
      </c>
      <c r="S624" s="6">
        <f>R624/R627</f>
        <v>4.7619047619047616E-2</v>
      </c>
      <c r="T624" s="6">
        <f>25/$T$3</f>
        <v>4.4642857142857144E-2</v>
      </c>
      <c r="V624">
        <v>26</v>
      </c>
      <c r="W624" s="6">
        <f>V624/V627</f>
        <v>0.05</v>
      </c>
      <c r="X624" s="6">
        <f>26/$X$3</f>
        <v>4.8148148148148148E-2</v>
      </c>
      <c r="Z624">
        <v>6</v>
      </c>
      <c r="AA624" s="6">
        <f>Z624/Z627</f>
        <v>5.5045871559633031E-2</v>
      </c>
      <c r="AB624" s="6">
        <f>6/$AB$3</f>
        <v>5.3097345132743362E-2</v>
      </c>
      <c r="AD624">
        <v>4</v>
      </c>
      <c r="AE624" s="6">
        <f>AD624/AD627</f>
        <v>2.0512820512820513E-2</v>
      </c>
      <c r="AF624" s="6">
        <f>4/$AF$3</f>
        <v>2.0202020202020204E-2</v>
      </c>
      <c r="AH624">
        <v>17</v>
      </c>
      <c r="AI624" s="6">
        <f>AH624/AH627</f>
        <v>7.1729957805907171E-2</v>
      </c>
      <c r="AJ624" s="6">
        <f>17/$AJ$3</f>
        <v>6.8825910931174086E-2</v>
      </c>
      <c r="AL624">
        <v>9</v>
      </c>
      <c r="AM624" s="6">
        <f>AL624/AL627</f>
        <v>4.072398190045249E-2</v>
      </c>
      <c r="AN624" s="6">
        <f>9/$AN$3</f>
        <v>3.8793103448275863E-2</v>
      </c>
      <c r="AP624">
        <v>9</v>
      </c>
      <c r="AQ624" s="6">
        <f>AP624/AP627</f>
        <v>5.2631578947368418E-2</v>
      </c>
      <c r="AR624" s="6">
        <f>9/$AR$3</f>
        <v>4.8387096774193547E-2</v>
      </c>
      <c r="AT624">
        <v>6</v>
      </c>
      <c r="AU624" s="6">
        <f>AT624/AT627</f>
        <v>5.3571428571428568E-2</v>
      </c>
      <c r="AV624" s="6">
        <f>6/$AV$3</f>
        <v>4.8387096774193547E-2</v>
      </c>
      <c r="AX624">
        <v>24</v>
      </c>
      <c r="AY624" s="6">
        <f>AX624/AX627</f>
        <v>5.9701492537313432E-2</v>
      </c>
      <c r="AZ624" s="6">
        <f>24/$AZ$3</f>
        <v>5.5813953488372092E-2</v>
      </c>
      <c r="BB624">
        <v>18</v>
      </c>
      <c r="BC624" s="6">
        <f>BB624/BB627</f>
        <v>4.3902439024390241E-2</v>
      </c>
      <c r="BD624" s="6">
        <f>18/$BD$3</f>
        <v>4.2056074766355138E-2</v>
      </c>
      <c r="BF624">
        <v>9</v>
      </c>
      <c r="BG624" s="6">
        <f>BF624/BF627</f>
        <v>3.8626609442060089E-2</v>
      </c>
      <c r="BH624" s="6">
        <f>9/$BH$3</f>
        <v>3.71900826446281E-2</v>
      </c>
      <c r="BJ624">
        <v>15</v>
      </c>
      <c r="BK624" s="6">
        <f>BJ624/BJ627</f>
        <v>3.9893617021276598E-2</v>
      </c>
      <c r="BL624" s="6">
        <f>15/$BL$3</f>
        <v>3.7220843672456573E-2</v>
      </c>
      <c r="BN624">
        <v>24</v>
      </c>
      <c r="BO624" s="6">
        <f>BN624/BN627</f>
        <v>5.9405940594059403E-2</v>
      </c>
      <c r="BP624" s="6">
        <f>24/$BP$3</f>
        <v>5.6737588652482268E-2</v>
      </c>
      <c r="BR624">
        <v>12</v>
      </c>
      <c r="BS624" s="6">
        <f>BR624/BR627</f>
        <v>4.5283018867924525E-2</v>
      </c>
      <c r="BT624" s="6">
        <f>12/$BT$3</f>
        <v>4.3795620437956206E-2</v>
      </c>
      <c r="BV624">
        <v>14</v>
      </c>
      <c r="BW624" s="6">
        <f>BV624/BV627</f>
        <v>4.9645390070921988E-2</v>
      </c>
      <c r="BX624" s="6">
        <f>14/$BX$3</f>
        <v>4.5901639344262293E-2</v>
      </c>
      <c r="BZ624">
        <v>12</v>
      </c>
      <c r="CA624" s="6">
        <f>BZ624/BZ627</f>
        <v>5.6872037914691941E-2</v>
      </c>
      <c r="CB624" s="6">
        <f>12/$CB$3</f>
        <v>5.3571428571428568E-2</v>
      </c>
      <c r="CD624">
        <v>6</v>
      </c>
      <c r="CE624" s="6">
        <f>CD624/CD627</f>
        <v>2.6315789473684209E-2</v>
      </c>
      <c r="CF624" s="6">
        <f>6/$CF$3</f>
        <v>2.4896265560165973E-2</v>
      </c>
      <c r="CH624">
        <v>19</v>
      </c>
      <c r="CI624" s="6">
        <f>CH624/CH627</f>
        <v>5.8641975308641972E-2</v>
      </c>
      <c r="CJ624" s="6">
        <f>19/$CJ$3</f>
        <v>5.7575757575757579E-2</v>
      </c>
    </row>
    <row r="625" spans="1:88" x14ac:dyDescent="0.35">
      <c r="A625" s="1" t="s">
        <v>1636</v>
      </c>
      <c r="B625">
        <v>481</v>
      </c>
      <c r="C625" s="6">
        <f>B625/B627</f>
        <v>0.46028708133971291</v>
      </c>
      <c r="D625" s="6">
        <f>481/$D$3</f>
        <v>0.43727272727272726</v>
      </c>
      <c r="F625">
        <v>361</v>
      </c>
      <c r="G625" s="6">
        <f>F625/F627</f>
        <v>0.41022727272727272</v>
      </c>
      <c r="H625" s="6">
        <f>361/$H$3</f>
        <v>0.39626783754116357</v>
      </c>
      <c r="J625">
        <v>145</v>
      </c>
      <c r="K625" s="6">
        <f>J625/J627</f>
        <v>0.34855769230769229</v>
      </c>
      <c r="L625" s="8">
        <f>145/$L$3</f>
        <v>0.33410138248847926</v>
      </c>
      <c r="N625">
        <v>39</v>
      </c>
      <c r="O625" s="6">
        <f>N625/N627</f>
        <v>0.5</v>
      </c>
      <c r="P625" s="6">
        <f>39/$P$3</f>
        <v>0.48148148148148145</v>
      </c>
      <c r="R625">
        <v>243</v>
      </c>
      <c r="S625" s="6">
        <f>R625/R627</f>
        <v>0.46285714285714286</v>
      </c>
      <c r="T625" s="6">
        <f>243/$T$3</f>
        <v>0.43392857142857144</v>
      </c>
      <c r="V625">
        <v>238</v>
      </c>
      <c r="W625" s="6">
        <f>V625/V627</f>
        <v>0.45769230769230768</v>
      </c>
      <c r="X625" s="6">
        <f>238/$X$3</f>
        <v>0.44074074074074077</v>
      </c>
      <c r="Z625">
        <v>29</v>
      </c>
      <c r="AA625" s="6">
        <f>Z625/Z627</f>
        <v>0.26605504587155965</v>
      </c>
      <c r="AB625" s="8">
        <f>29/$AB$3</f>
        <v>0.25663716814159293</v>
      </c>
      <c r="AD625">
        <v>61</v>
      </c>
      <c r="AE625" s="6">
        <f>AD625/AD627</f>
        <v>0.31282051282051282</v>
      </c>
      <c r="AF625" s="8">
        <f>61/$AF$3</f>
        <v>0.30808080808080807</v>
      </c>
      <c r="AH625">
        <v>87</v>
      </c>
      <c r="AI625" s="6">
        <f>AH625/AH627</f>
        <v>0.36708860759493672</v>
      </c>
      <c r="AJ625" s="8">
        <f>87/$AJ$3</f>
        <v>0.35222672064777327</v>
      </c>
      <c r="AL625">
        <v>112</v>
      </c>
      <c r="AM625" s="6">
        <f>AL625/AL627</f>
        <v>0.50678733031674206</v>
      </c>
      <c r="AN625" s="6">
        <f>112/$AN$3</f>
        <v>0.48275862068965519</v>
      </c>
      <c r="AO625" s="7"/>
      <c r="AP625">
        <v>108</v>
      </c>
      <c r="AQ625" s="6">
        <f>AP625/AP627</f>
        <v>0.63157894736842102</v>
      </c>
      <c r="AR625" s="9">
        <f>108/$AR$3</f>
        <v>0.58064516129032262</v>
      </c>
      <c r="AS625" s="7"/>
      <c r="AT625">
        <v>84</v>
      </c>
      <c r="AU625" s="6">
        <f>AT625/AT627</f>
        <v>0.75</v>
      </c>
      <c r="AV625" s="9">
        <f>84/$AV$3</f>
        <v>0.67741935483870963</v>
      </c>
      <c r="AW625" s="7"/>
      <c r="AX625">
        <v>190</v>
      </c>
      <c r="AY625" s="6">
        <f>AX625/AX627</f>
        <v>0.47263681592039802</v>
      </c>
      <c r="AZ625" s="6">
        <f>190/$AZ$3</f>
        <v>0.44186046511627908</v>
      </c>
      <c r="BB625">
        <v>187</v>
      </c>
      <c r="BC625" s="6">
        <f>BB625/BB627</f>
        <v>0.45609756097560977</v>
      </c>
      <c r="BD625" s="6">
        <f>187/$BD$3</f>
        <v>0.43691588785046731</v>
      </c>
      <c r="BF625">
        <v>104</v>
      </c>
      <c r="BG625" s="6">
        <f>BF625/BF627</f>
        <v>0.44635193133047213</v>
      </c>
      <c r="BH625" s="6">
        <f>104/$BH$3</f>
        <v>0.42975206611570249</v>
      </c>
      <c r="BJ625">
        <v>173</v>
      </c>
      <c r="BK625" s="6">
        <f>BJ625/BJ627</f>
        <v>0.46010638297872342</v>
      </c>
      <c r="BL625" s="6">
        <f>173/$BL$3</f>
        <v>0.4292803970223325</v>
      </c>
      <c r="BN625">
        <v>196</v>
      </c>
      <c r="BO625" s="6">
        <f>BN625/BN627</f>
        <v>0.48514851485148514</v>
      </c>
      <c r="BP625" s="6">
        <f>196/$BP$3</f>
        <v>0.46335697399527187</v>
      </c>
      <c r="BR625">
        <v>112</v>
      </c>
      <c r="BS625" s="6">
        <f>BR625/BR627</f>
        <v>0.42264150943396228</v>
      </c>
      <c r="BT625" s="6">
        <f>112/$BT$3</f>
        <v>0.40875912408759124</v>
      </c>
      <c r="BV625">
        <v>135</v>
      </c>
      <c r="BW625" s="6">
        <f>BV625/BV627</f>
        <v>0.47872340425531917</v>
      </c>
      <c r="BX625" s="6">
        <f>135/$BX$3</f>
        <v>0.44262295081967212</v>
      </c>
      <c r="BZ625">
        <v>89</v>
      </c>
      <c r="CA625" s="6">
        <f>BZ625/BZ627</f>
        <v>0.4218009478672986</v>
      </c>
      <c r="CB625" s="6">
        <f>89/$CB$3</f>
        <v>0.39732142857142855</v>
      </c>
      <c r="CD625">
        <v>107</v>
      </c>
      <c r="CE625" s="6">
        <f>CD625/CD627</f>
        <v>0.4692982456140351</v>
      </c>
      <c r="CF625" s="6">
        <f>107/$CF$3</f>
        <v>0.44398340248962653</v>
      </c>
      <c r="CH625">
        <v>150</v>
      </c>
      <c r="CI625" s="6">
        <f>CH625/CH627</f>
        <v>0.46296296296296297</v>
      </c>
      <c r="CJ625" s="6">
        <f>150/$CJ$3</f>
        <v>0.45454545454545453</v>
      </c>
    </row>
    <row r="626" spans="1:88" x14ac:dyDescent="0.35">
      <c r="A626" s="1" t="s">
        <v>409</v>
      </c>
      <c r="B626">
        <v>0</v>
      </c>
      <c r="C626" s="6">
        <f>B626/B627</f>
        <v>0</v>
      </c>
      <c r="D626" s="6">
        <f>0/$D$3</f>
        <v>0</v>
      </c>
      <c r="F626">
        <v>0</v>
      </c>
      <c r="G626" s="6">
        <f>F626/F627</f>
        <v>0</v>
      </c>
      <c r="H626" s="6">
        <f>0/$H$3</f>
        <v>0</v>
      </c>
      <c r="J626">
        <v>0</v>
      </c>
      <c r="K626" s="6">
        <f>J626/J627</f>
        <v>0</v>
      </c>
      <c r="L626" s="6">
        <f>0/$L$3</f>
        <v>0</v>
      </c>
      <c r="N626">
        <v>0</v>
      </c>
      <c r="O626" s="6">
        <f>N626/N627</f>
        <v>0</v>
      </c>
      <c r="P626" s="6">
        <f>0/$P$3</f>
        <v>0</v>
      </c>
      <c r="R626">
        <v>0</v>
      </c>
      <c r="S626" s="6">
        <f>R626/R627</f>
        <v>0</v>
      </c>
      <c r="T626" s="6">
        <f>0/$T$3</f>
        <v>0</v>
      </c>
      <c r="V626">
        <v>0</v>
      </c>
      <c r="W626" s="6">
        <f>V626/V627</f>
        <v>0</v>
      </c>
      <c r="X626" s="6">
        <f>0/$X$3</f>
        <v>0</v>
      </c>
      <c r="Z626">
        <v>0</v>
      </c>
      <c r="AA626" s="6">
        <f>Z626/Z627</f>
        <v>0</v>
      </c>
      <c r="AB626" s="6">
        <f>0/$AB$3</f>
        <v>0</v>
      </c>
      <c r="AD626">
        <v>0</v>
      </c>
      <c r="AE626" s="6">
        <f>AD626/AD627</f>
        <v>0</v>
      </c>
      <c r="AF626" s="6">
        <f>0/$AF$3</f>
        <v>0</v>
      </c>
      <c r="AH626">
        <v>0</v>
      </c>
      <c r="AI626" s="6">
        <f>AH626/AH627</f>
        <v>0</v>
      </c>
      <c r="AJ626" s="6">
        <f>0/$AJ$3</f>
        <v>0</v>
      </c>
      <c r="AL626">
        <v>0</v>
      </c>
      <c r="AM626" s="6">
        <f>AL626/AL627</f>
        <v>0</v>
      </c>
      <c r="AN626" s="6">
        <f>0/$AN$3</f>
        <v>0</v>
      </c>
      <c r="AP626">
        <v>0</v>
      </c>
      <c r="AQ626" s="6">
        <f>AP626/AP627</f>
        <v>0</v>
      </c>
      <c r="AR626" s="6">
        <f>0/$AR$3</f>
        <v>0</v>
      </c>
      <c r="AT626">
        <v>0</v>
      </c>
      <c r="AU626" s="6">
        <f>AT626/AT627</f>
        <v>0</v>
      </c>
      <c r="AV626" s="6">
        <f>0/$AV$3</f>
        <v>0</v>
      </c>
      <c r="AX626">
        <v>0</v>
      </c>
      <c r="AY626" s="6">
        <f>AX626/AX627</f>
        <v>0</v>
      </c>
      <c r="AZ626" s="6">
        <f>0/$AZ$3</f>
        <v>0</v>
      </c>
      <c r="BB626">
        <v>0</v>
      </c>
      <c r="BC626" s="6">
        <f>BB626/BB627</f>
        <v>0</v>
      </c>
      <c r="BD626" s="6">
        <f>0/$BD$3</f>
        <v>0</v>
      </c>
      <c r="BF626">
        <v>0</v>
      </c>
      <c r="BG626" s="6">
        <f>BF626/BF627</f>
        <v>0</v>
      </c>
      <c r="BH626" s="6">
        <f>0/$BH$3</f>
        <v>0</v>
      </c>
      <c r="BJ626">
        <v>0</v>
      </c>
      <c r="BK626" s="6">
        <f>BJ626/BJ627</f>
        <v>0</v>
      </c>
      <c r="BL626" s="6">
        <f>0/$BL$3</f>
        <v>0</v>
      </c>
      <c r="BN626">
        <v>0</v>
      </c>
      <c r="BO626" s="6">
        <f>BN626/BN627</f>
        <v>0</v>
      </c>
      <c r="BP626" s="6">
        <f>0/$BP$3</f>
        <v>0</v>
      </c>
      <c r="BR626">
        <v>0</v>
      </c>
      <c r="BS626" s="6">
        <f>BR626/BR627</f>
        <v>0</v>
      </c>
      <c r="BT626" s="6">
        <f>0/$BT$3</f>
        <v>0</v>
      </c>
      <c r="BV626">
        <v>0</v>
      </c>
      <c r="BW626" s="6">
        <f>BV626/BV627</f>
        <v>0</v>
      </c>
      <c r="BX626" s="6">
        <f>0/$BX$3</f>
        <v>0</v>
      </c>
      <c r="BZ626">
        <v>0</v>
      </c>
      <c r="CA626" s="6">
        <f>BZ626/BZ627</f>
        <v>0</v>
      </c>
      <c r="CB626" s="6">
        <f>0/$CB$3</f>
        <v>0</v>
      </c>
      <c r="CD626">
        <v>0</v>
      </c>
      <c r="CE626" s="6">
        <f>CD626/CD627</f>
        <v>0</v>
      </c>
      <c r="CF626" s="6">
        <f>0/$CF$3</f>
        <v>0</v>
      </c>
      <c r="CH626">
        <v>0</v>
      </c>
      <c r="CI626" s="6">
        <f>CH626/CH627</f>
        <v>0</v>
      </c>
      <c r="CJ626" s="6">
        <f>0/$CJ$3</f>
        <v>0</v>
      </c>
    </row>
    <row r="627" spans="1:88" s="10" customFormat="1" x14ac:dyDescent="0.35">
      <c r="A627" s="11" t="s">
        <v>411</v>
      </c>
      <c r="B627" s="10">
        <v>1045</v>
      </c>
      <c r="F627" s="10">
        <v>880</v>
      </c>
      <c r="J627" s="10">
        <v>416</v>
      </c>
      <c r="N627" s="10">
        <v>78</v>
      </c>
      <c r="R627" s="10">
        <v>525</v>
      </c>
      <c r="V627" s="10">
        <v>520</v>
      </c>
      <c r="Z627" s="10">
        <v>109</v>
      </c>
      <c r="AD627" s="10">
        <v>195</v>
      </c>
      <c r="AH627" s="10">
        <v>237</v>
      </c>
      <c r="AL627" s="10">
        <v>221</v>
      </c>
      <c r="AP627" s="10">
        <v>171</v>
      </c>
      <c r="AT627" s="10">
        <v>112</v>
      </c>
      <c r="AX627" s="10">
        <v>402</v>
      </c>
      <c r="BB627" s="10">
        <v>410</v>
      </c>
      <c r="BF627" s="10">
        <v>233</v>
      </c>
      <c r="BJ627" s="10">
        <v>376</v>
      </c>
      <c r="BN627" s="10">
        <v>404</v>
      </c>
      <c r="BR627" s="10">
        <v>265</v>
      </c>
      <c r="BV627" s="10">
        <v>282</v>
      </c>
      <c r="BZ627" s="10">
        <v>211</v>
      </c>
      <c r="CD627" s="10">
        <v>228</v>
      </c>
      <c r="CH627" s="10">
        <v>324</v>
      </c>
    </row>
    <row r="628" spans="1:88" hidden="1" x14ac:dyDescent="0.35">
      <c r="A628" s="12" t="s">
        <v>412</v>
      </c>
      <c r="B628">
        <v>0</v>
      </c>
      <c r="F628">
        <v>0</v>
      </c>
      <c r="J628">
        <v>0</v>
      </c>
      <c r="N628">
        <v>0</v>
      </c>
      <c r="R628">
        <v>0</v>
      </c>
      <c r="V628">
        <v>0</v>
      </c>
      <c r="Z628">
        <v>0</v>
      </c>
      <c r="AD628">
        <v>0</v>
      </c>
      <c r="AH628">
        <v>0</v>
      </c>
      <c r="AL628">
        <v>0</v>
      </c>
      <c r="AP628">
        <v>0</v>
      </c>
      <c r="AT628">
        <v>0</v>
      </c>
      <c r="AX628">
        <v>0</v>
      </c>
      <c r="BB628">
        <v>0</v>
      </c>
      <c r="BF628">
        <v>0</v>
      </c>
      <c r="BJ628">
        <v>0</v>
      </c>
      <c r="BN628">
        <v>0</v>
      </c>
      <c r="BR628">
        <v>0</v>
      </c>
      <c r="BV628">
        <v>0</v>
      </c>
      <c r="BZ628">
        <v>0</v>
      </c>
      <c r="CD628">
        <v>0</v>
      </c>
      <c r="CH628">
        <v>0</v>
      </c>
    </row>
    <row r="629" spans="1:88" s="13" customFormat="1" x14ac:dyDescent="0.35">
      <c r="A629" s="12" t="s">
        <v>413</v>
      </c>
      <c r="B629" s="13">
        <v>55</v>
      </c>
      <c r="F629" s="13">
        <v>31</v>
      </c>
      <c r="J629" s="13">
        <v>18</v>
      </c>
      <c r="N629" s="13">
        <v>3</v>
      </c>
      <c r="R629" s="13">
        <v>35</v>
      </c>
      <c r="V629" s="13">
        <v>20</v>
      </c>
      <c r="Z629" s="13">
        <v>4</v>
      </c>
      <c r="AD629" s="13">
        <v>3</v>
      </c>
      <c r="AH629" s="13">
        <v>10</v>
      </c>
      <c r="AL629" s="13">
        <v>11</v>
      </c>
      <c r="AP629" s="13">
        <v>15</v>
      </c>
      <c r="AT629" s="13">
        <v>12</v>
      </c>
      <c r="AX629" s="13">
        <v>28</v>
      </c>
      <c r="BB629" s="13">
        <v>18</v>
      </c>
      <c r="BF629" s="13">
        <v>9</v>
      </c>
      <c r="BJ629" s="13">
        <v>27</v>
      </c>
      <c r="BN629" s="13">
        <v>19</v>
      </c>
      <c r="BR629" s="13">
        <v>9</v>
      </c>
      <c r="BV629" s="13">
        <v>23</v>
      </c>
      <c r="BZ629" s="13">
        <v>13</v>
      </c>
      <c r="CD629" s="13">
        <v>13</v>
      </c>
      <c r="CH629" s="13">
        <v>6</v>
      </c>
    </row>
  </sheetData>
  <mergeCells count="44">
    <mergeCell ref="B3:C3"/>
    <mergeCell ref="F3:G3"/>
    <mergeCell ref="J3:K3"/>
    <mergeCell ref="N3:O3"/>
    <mergeCell ref="R3:S3"/>
    <mergeCell ref="V3:W3"/>
    <mergeCell ref="Z3:AA3"/>
    <mergeCell ref="AD3:AE3"/>
    <mergeCell ref="AH3:AI3"/>
    <mergeCell ref="AL3:AM3"/>
    <mergeCell ref="AP3:AQ3"/>
    <mergeCell ref="AT3:AU3"/>
    <mergeCell ref="AX3:AY3"/>
    <mergeCell ref="BB3:BC3"/>
    <mergeCell ref="BF3:BG3"/>
    <mergeCell ref="BJ3:BK3"/>
    <mergeCell ref="BN3:BO3"/>
    <mergeCell ref="BR3:BS3"/>
    <mergeCell ref="BV3:BW3"/>
    <mergeCell ref="BZ3:CA3"/>
    <mergeCell ref="CD3:CE3"/>
    <mergeCell ref="CH3:CI3"/>
    <mergeCell ref="B4:D4"/>
    <mergeCell ref="F4:H4"/>
    <mergeCell ref="J4:L4"/>
    <mergeCell ref="N4:P4"/>
    <mergeCell ref="R4:T4"/>
    <mergeCell ref="V4:X4"/>
    <mergeCell ref="Z4:AB4"/>
    <mergeCell ref="AD4:AF4"/>
    <mergeCell ref="AH4:AJ4"/>
    <mergeCell ref="AL4:AN4"/>
    <mergeCell ref="AP4:AR4"/>
    <mergeCell ref="AT4:AV4"/>
    <mergeCell ref="AX4:AZ4"/>
    <mergeCell ref="BB4:BD4"/>
    <mergeCell ref="BZ4:CB4"/>
    <mergeCell ref="CD4:CF4"/>
    <mergeCell ref="CH4:CJ4"/>
    <mergeCell ref="BF4:BH4"/>
    <mergeCell ref="BJ4:BL4"/>
    <mergeCell ref="BN4:BP4"/>
    <mergeCell ref="BR4:BT4"/>
    <mergeCell ref="BV4:BX4"/>
  </mergeCells>
  <conditionalFormatting sqref="B6:B8">
    <cfRule type="dataBar" priority="1">
      <dataBar>
        <cfvo type="min"/>
        <cfvo type="max"/>
        <color rgb="FF628DC4"/>
      </dataBar>
    </cfRule>
  </conditionalFormatting>
  <conditionalFormatting sqref="B14:B19">
    <cfRule type="dataBar" priority="67">
      <dataBar>
        <cfvo type="min"/>
        <cfvo type="max"/>
        <color rgb="FF628DC4"/>
      </dataBar>
    </cfRule>
  </conditionalFormatting>
  <conditionalFormatting sqref="B25:B75">
    <cfRule type="dataBar" priority="133">
      <dataBar>
        <cfvo type="min"/>
        <cfvo type="max"/>
        <color rgb="FF628DC4"/>
      </dataBar>
    </cfRule>
  </conditionalFormatting>
  <conditionalFormatting sqref="B81:B83">
    <cfRule type="dataBar" priority="199">
      <dataBar>
        <cfvo type="min"/>
        <cfvo type="max"/>
        <color rgb="FF628DC4"/>
      </dataBar>
    </cfRule>
  </conditionalFormatting>
  <conditionalFormatting sqref="B89:B92">
    <cfRule type="dataBar" priority="265">
      <dataBar>
        <cfvo type="min"/>
        <cfvo type="max"/>
        <color rgb="FF628DC4"/>
      </dataBar>
    </cfRule>
  </conditionalFormatting>
  <conditionalFormatting sqref="B98:B108">
    <cfRule type="dataBar" priority="331">
      <dataBar>
        <cfvo type="min"/>
        <cfvo type="max"/>
        <color rgb="FF628DC4"/>
      </dataBar>
    </cfRule>
  </conditionalFormatting>
  <conditionalFormatting sqref="B114:B120">
    <cfRule type="dataBar" priority="397">
      <dataBar>
        <cfvo type="min"/>
        <cfvo type="max"/>
        <color rgb="FF628DC4"/>
      </dataBar>
    </cfRule>
  </conditionalFormatting>
  <conditionalFormatting sqref="B126:B130">
    <cfRule type="dataBar" priority="463">
      <dataBar>
        <cfvo type="min"/>
        <cfvo type="max"/>
        <color rgb="FF628DC4"/>
      </dataBar>
    </cfRule>
  </conditionalFormatting>
  <conditionalFormatting sqref="B136:B142">
    <cfRule type="dataBar" priority="529">
      <dataBar>
        <cfvo type="min"/>
        <cfvo type="max"/>
        <color rgb="FF628DC4"/>
      </dataBar>
    </cfRule>
  </conditionalFormatting>
  <conditionalFormatting sqref="B148:B154">
    <cfRule type="dataBar" priority="595">
      <dataBar>
        <cfvo type="min"/>
        <cfvo type="max"/>
        <color rgb="FF628DC4"/>
      </dataBar>
    </cfRule>
  </conditionalFormatting>
  <conditionalFormatting sqref="B160:B237">
    <cfRule type="dataBar" priority="661">
      <dataBar>
        <cfvo type="min"/>
        <cfvo type="max"/>
        <color rgb="FF628DC4"/>
      </dataBar>
    </cfRule>
  </conditionalFormatting>
  <conditionalFormatting sqref="B243:B320">
    <cfRule type="dataBar" priority="727">
      <dataBar>
        <cfvo type="min"/>
        <cfvo type="max"/>
        <color rgb="FF628DC4"/>
      </dataBar>
    </cfRule>
  </conditionalFormatting>
  <conditionalFormatting sqref="B326:B329">
    <cfRule type="dataBar" priority="793">
      <dataBar>
        <cfvo type="min"/>
        <cfvo type="max"/>
        <color rgb="FF628DC4"/>
      </dataBar>
    </cfRule>
  </conditionalFormatting>
  <conditionalFormatting sqref="B335:B341">
    <cfRule type="dataBar" priority="859">
      <dataBar>
        <cfvo type="min"/>
        <cfvo type="max"/>
        <color rgb="FF628DC4"/>
      </dataBar>
    </cfRule>
  </conditionalFormatting>
  <conditionalFormatting sqref="B347:B351">
    <cfRule type="dataBar" priority="925">
      <dataBar>
        <cfvo type="min"/>
        <cfvo type="max"/>
        <color rgb="FF628DC4"/>
      </dataBar>
    </cfRule>
  </conditionalFormatting>
  <conditionalFormatting sqref="B357:B360">
    <cfRule type="dataBar" priority="991">
      <dataBar>
        <cfvo type="min"/>
        <cfvo type="max"/>
        <color rgb="FF628DC4"/>
      </dataBar>
    </cfRule>
  </conditionalFormatting>
  <conditionalFormatting sqref="B366:B372">
    <cfRule type="dataBar" priority="1057">
      <dataBar>
        <cfvo type="min"/>
        <cfvo type="max"/>
        <color rgb="FF628DC4"/>
      </dataBar>
    </cfRule>
  </conditionalFormatting>
  <conditionalFormatting sqref="B378:B382">
    <cfRule type="dataBar" priority="1123">
      <dataBar>
        <cfvo type="min"/>
        <cfvo type="max"/>
        <color rgb="FF628DC4"/>
      </dataBar>
    </cfRule>
  </conditionalFormatting>
  <conditionalFormatting sqref="B388:B391">
    <cfRule type="dataBar" priority="1189">
      <dataBar>
        <cfvo type="min"/>
        <cfvo type="max"/>
        <color rgb="FF628DC4"/>
      </dataBar>
    </cfRule>
  </conditionalFormatting>
  <conditionalFormatting sqref="B397:B403">
    <cfRule type="dataBar" priority="1255">
      <dataBar>
        <cfvo type="min"/>
        <cfvo type="max"/>
        <color rgb="FF628DC4"/>
      </dataBar>
    </cfRule>
  </conditionalFormatting>
  <conditionalFormatting sqref="B409:B413">
    <cfRule type="dataBar" priority="1321">
      <dataBar>
        <cfvo type="min"/>
        <cfvo type="max"/>
        <color rgb="FF628DC4"/>
      </dataBar>
    </cfRule>
  </conditionalFormatting>
  <conditionalFormatting sqref="B419:B422">
    <cfRule type="dataBar" priority="1387">
      <dataBar>
        <cfvo type="min"/>
        <cfvo type="max"/>
        <color rgb="FF628DC4"/>
      </dataBar>
    </cfRule>
  </conditionalFormatting>
  <conditionalFormatting sqref="B428:B434">
    <cfRule type="dataBar" priority="1453">
      <dataBar>
        <cfvo type="min"/>
        <cfvo type="max"/>
        <color rgb="FF628DC4"/>
      </dataBar>
    </cfRule>
  </conditionalFormatting>
  <conditionalFormatting sqref="B440:B444">
    <cfRule type="dataBar" priority="1519">
      <dataBar>
        <cfvo type="min"/>
        <cfvo type="max"/>
        <color rgb="FF628DC4"/>
      </dataBar>
    </cfRule>
  </conditionalFormatting>
  <conditionalFormatting sqref="B450:B453">
    <cfRule type="dataBar" priority="1585">
      <dataBar>
        <cfvo type="min"/>
        <cfvo type="max"/>
        <color rgb="FF628DC4"/>
      </dataBar>
    </cfRule>
  </conditionalFormatting>
  <conditionalFormatting sqref="B459:B465">
    <cfRule type="dataBar" priority="1651">
      <dataBar>
        <cfvo type="min"/>
        <cfvo type="max"/>
        <color rgb="FF628DC4"/>
      </dataBar>
    </cfRule>
  </conditionalFormatting>
  <conditionalFormatting sqref="B471:B475">
    <cfRule type="dataBar" priority="1717">
      <dataBar>
        <cfvo type="min"/>
        <cfvo type="max"/>
        <color rgb="FF628DC4"/>
      </dataBar>
    </cfRule>
  </conditionalFormatting>
  <conditionalFormatting sqref="B481:B483">
    <cfRule type="dataBar" priority="1783">
      <dataBar>
        <cfvo type="min"/>
        <cfvo type="max"/>
        <color rgb="FF628DC4"/>
      </dataBar>
    </cfRule>
  </conditionalFormatting>
  <conditionalFormatting sqref="B489:B600">
    <cfRule type="dataBar" priority="1849">
      <dataBar>
        <cfvo type="min"/>
        <cfvo type="max"/>
        <color rgb="FF628DC4"/>
      </dataBar>
    </cfRule>
  </conditionalFormatting>
  <conditionalFormatting sqref="B606:B613">
    <cfRule type="dataBar" priority="1915">
      <dataBar>
        <cfvo type="min"/>
        <cfvo type="max"/>
        <color rgb="FF628DC4"/>
      </dataBar>
    </cfRule>
  </conditionalFormatting>
  <conditionalFormatting sqref="B619:B626">
    <cfRule type="dataBar" priority="1981">
      <dataBar>
        <cfvo type="min"/>
        <cfvo type="max"/>
        <color rgb="FF628DC4"/>
      </dataBar>
    </cfRule>
  </conditionalFormatting>
  <conditionalFormatting sqref="C6:C8">
    <cfRule type="dataBar" priority="2">
      <dataBar>
        <cfvo type="min"/>
        <cfvo type="max"/>
        <color rgb="FFFFB628"/>
      </dataBar>
    </cfRule>
  </conditionalFormatting>
  <conditionalFormatting sqref="C14:C19">
    <cfRule type="dataBar" priority="68">
      <dataBar>
        <cfvo type="min"/>
        <cfvo type="max"/>
        <color rgb="FFFFB628"/>
      </dataBar>
    </cfRule>
  </conditionalFormatting>
  <conditionalFormatting sqref="C25:C75">
    <cfRule type="dataBar" priority="134">
      <dataBar>
        <cfvo type="min"/>
        <cfvo type="max"/>
        <color rgb="FFFFB628"/>
      </dataBar>
    </cfRule>
  </conditionalFormatting>
  <conditionalFormatting sqref="C81:C83">
    <cfRule type="dataBar" priority="200">
      <dataBar>
        <cfvo type="min"/>
        <cfvo type="max"/>
        <color rgb="FFFFB628"/>
      </dataBar>
    </cfRule>
  </conditionalFormatting>
  <conditionalFormatting sqref="C89:C92">
    <cfRule type="dataBar" priority="266">
      <dataBar>
        <cfvo type="min"/>
        <cfvo type="max"/>
        <color rgb="FFFFB628"/>
      </dataBar>
    </cfRule>
  </conditionalFormatting>
  <conditionalFormatting sqref="C98:C108">
    <cfRule type="dataBar" priority="332">
      <dataBar>
        <cfvo type="min"/>
        <cfvo type="max"/>
        <color rgb="FFFFB628"/>
      </dataBar>
    </cfRule>
  </conditionalFormatting>
  <conditionalFormatting sqref="C114:C120">
    <cfRule type="dataBar" priority="398">
      <dataBar>
        <cfvo type="min"/>
        <cfvo type="max"/>
        <color rgb="FFFFB628"/>
      </dataBar>
    </cfRule>
  </conditionalFormatting>
  <conditionalFormatting sqref="C126:C130">
    <cfRule type="dataBar" priority="464">
      <dataBar>
        <cfvo type="min"/>
        <cfvo type="max"/>
        <color rgb="FFFFB628"/>
      </dataBar>
    </cfRule>
  </conditionalFormatting>
  <conditionalFormatting sqref="C136:C142">
    <cfRule type="dataBar" priority="530">
      <dataBar>
        <cfvo type="min"/>
        <cfvo type="max"/>
        <color rgb="FFFFB628"/>
      </dataBar>
    </cfRule>
  </conditionalFormatting>
  <conditionalFormatting sqref="C148:C154">
    <cfRule type="dataBar" priority="596">
      <dataBar>
        <cfvo type="min"/>
        <cfvo type="max"/>
        <color rgb="FFFFB628"/>
      </dataBar>
    </cfRule>
  </conditionalFormatting>
  <conditionalFormatting sqref="C160:C237">
    <cfRule type="dataBar" priority="662">
      <dataBar>
        <cfvo type="min"/>
        <cfvo type="max"/>
        <color rgb="FFFFB628"/>
      </dataBar>
    </cfRule>
  </conditionalFormatting>
  <conditionalFormatting sqref="C243:C320">
    <cfRule type="dataBar" priority="728">
      <dataBar>
        <cfvo type="min"/>
        <cfvo type="max"/>
        <color rgb="FFFFB628"/>
      </dataBar>
    </cfRule>
  </conditionalFormatting>
  <conditionalFormatting sqref="C326:C329">
    <cfRule type="dataBar" priority="794">
      <dataBar>
        <cfvo type="min"/>
        <cfvo type="max"/>
        <color rgb="FFFFB628"/>
      </dataBar>
    </cfRule>
  </conditionalFormatting>
  <conditionalFormatting sqref="C335:C341">
    <cfRule type="dataBar" priority="860">
      <dataBar>
        <cfvo type="min"/>
        <cfvo type="max"/>
        <color rgb="FFFFB628"/>
      </dataBar>
    </cfRule>
  </conditionalFormatting>
  <conditionalFormatting sqref="C347:C351">
    <cfRule type="dataBar" priority="926">
      <dataBar>
        <cfvo type="min"/>
        <cfvo type="max"/>
        <color rgb="FFFFB628"/>
      </dataBar>
    </cfRule>
  </conditionalFormatting>
  <conditionalFormatting sqref="C357:C360">
    <cfRule type="dataBar" priority="992">
      <dataBar>
        <cfvo type="min"/>
        <cfvo type="max"/>
        <color rgb="FFFFB628"/>
      </dataBar>
    </cfRule>
  </conditionalFormatting>
  <conditionalFormatting sqref="C366:C372">
    <cfRule type="dataBar" priority="1058">
      <dataBar>
        <cfvo type="min"/>
        <cfvo type="max"/>
        <color rgb="FFFFB628"/>
      </dataBar>
    </cfRule>
  </conditionalFormatting>
  <conditionalFormatting sqref="C378:C382">
    <cfRule type="dataBar" priority="1124">
      <dataBar>
        <cfvo type="min"/>
        <cfvo type="max"/>
        <color rgb="FFFFB628"/>
      </dataBar>
    </cfRule>
  </conditionalFormatting>
  <conditionalFormatting sqref="C388:C391">
    <cfRule type="dataBar" priority="1190">
      <dataBar>
        <cfvo type="min"/>
        <cfvo type="max"/>
        <color rgb="FFFFB628"/>
      </dataBar>
    </cfRule>
  </conditionalFormatting>
  <conditionalFormatting sqref="C397:C403">
    <cfRule type="dataBar" priority="1256">
      <dataBar>
        <cfvo type="min"/>
        <cfvo type="max"/>
        <color rgb="FFFFB628"/>
      </dataBar>
    </cfRule>
  </conditionalFormatting>
  <conditionalFormatting sqref="C409:C413">
    <cfRule type="dataBar" priority="1322">
      <dataBar>
        <cfvo type="min"/>
        <cfvo type="max"/>
        <color rgb="FFFFB628"/>
      </dataBar>
    </cfRule>
  </conditionalFormatting>
  <conditionalFormatting sqref="C419:C422">
    <cfRule type="dataBar" priority="1388">
      <dataBar>
        <cfvo type="min"/>
        <cfvo type="max"/>
        <color rgb="FFFFB628"/>
      </dataBar>
    </cfRule>
  </conditionalFormatting>
  <conditionalFormatting sqref="C428:C434">
    <cfRule type="dataBar" priority="1454">
      <dataBar>
        <cfvo type="min"/>
        <cfvo type="max"/>
        <color rgb="FFFFB628"/>
      </dataBar>
    </cfRule>
  </conditionalFormatting>
  <conditionalFormatting sqref="C440:C444">
    <cfRule type="dataBar" priority="1520">
      <dataBar>
        <cfvo type="min"/>
        <cfvo type="max"/>
        <color rgb="FFFFB628"/>
      </dataBar>
    </cfRule>
  </conditionalFormatting>
  <conditionalFormatting sqref="C450:C453">
    <cfRule type="dataBar" priority="1586">
      <dataBar>
        <cfvo type="min"/>
        <cfvo type="max"/>
        <color rgb="FFFFB628"/>
      </dataBar>
    </cfRule>
  </conditionalFormatting>
  <conditionalFormatting sqref="C459:C465">
    <cfRule type="dataBar" priority="1652">
      <dataBar>
        <cfvo type="min"/>
        <cfvo type="max"/>
        <color rgb="FFFFB628"/>
      </dataBar>
    </cfRule>
  </conditionalFormatting>
  <conditionalFormatting sqref="C471:C475">
    <cfRule type="dataBar" priority="1718">
      <dataBar>
        <cfvo type="min"/>
        <cfvo type="max"/>
        <color rgb="FFFFB628"/>
      </dataBar>
    </cfRule>
  </conditionalFormatting>
  <conditionalFormatting sqref="C481:C483">
    <cfRule type="dataBar" priority="1784">
      <dataBar>
        <cfvo type="min"/>
        <cfvo type="max"/>
        <color rgb="FFFFB628"/>
      </dataBar>
    </cfRule>
  </conditionalFormatting>
  <conditionalFormatting sqref="C489:C600">
    <cfRule type="dataBar" priority="1850">
      <dataBar>
        <cfvo type="min"/>
        <cfvo type="max"/>
        <color rgb="FFFFB628"/>
      </dataBar>
    </cfRule>
  </conditionalFormatting>
  <conditionalFormatting sqref="C606:C613">
    <cfRule type="dataBar" priority="1916">
      <dataBar>
        <cfvo type="min"/>
        <cfvo type="max"/>
        <color rgb="FFFFB628"/>
      </dataBar>
    </cfRule>
  </conditionalFormatting>
  <conditionalFormatting sqref="C619:C626">
    <cfRule type="dataBar" priority="1982">
      <dataBar>
        <cfvo type="min"/>
        <cfvo type="max"/>
        <color rgb="FFFFB628"/>
      </dataBar>
    </cfRule>
  </conditionalFormatting>
  <conditionalFormatting sqref="D6:D8">
    <cfRule type="dataBar" priority="3">
      <dataBar>
        <cfvo type="min"/>
        <cfvo type="max"/>
        <color rgb="FFF08D5B"/>
      </dataBar>
    </cfRule>
  </conditionalFormatting>
  <conditionalFormatting sqref="D14:D19">
    <cfRule type="dataBar" priority="69">
      <dataBar>
        <cfvo type="min"/>
        <cfvo type="max"/>
        <color rgb="FFF08D5B"/>
      </dataBar>
    </cfRule>
  </conditionalFormatting>
  <conditionalFormatting sqref="D25:D75">
    <cfRule type="dataBar" priority="135">
      <dataBar>
        <cfvo type="min"/>
        <cfvo type="max"/>
        <color rgb="FFF08D5B"/>
      </dataBar>
    </cfRule>
  </conditionalFormatting>
  <conditionalFormatting sqref="D81:D83">
    <cfRule type="dataBar" priority="201">
      <dataBar>
        <cfvo type="min"/>
        <cfvo type="max"/>
        <color rgb="FFF08D5B"/>
      </dataBar>
    </cfRule>
  </conditionalFormatting>
  <conditionalFormatting sqref="D89:D92">
    <cfRule type="dataBar" priority="267">
      <dataBar>
        <cfvo type="min"/>
        <cfvo type="max"/>
        <color rgb="FFF08D5B"/>
      </dataBar>
    </cfRule>
  </conditionalFormatting>
  <conditionalFormatting sqref="D98:D108">
    <cfRule type="dataBar" priority="333">
      <dataBar>
        <cfvo type="min"/>
        <cfvo type="max"/>
        <color rgb="FFF08D5B"/>
      </dataBar>
    </cfRule>
  </conditionalFormatting>
  <conditionalFormatting sqref="D114:D120">
    <cfRule type="dataBar" priority="399">
      <dataBar>
        <cfvo type="min"/>
        <cfvo type="max"/>
        <color rgb="FFF08D5B"/>
      </dataBar>
    </cfRule>
  </conditionalFormatting>
  <conditionalFormatting sqref="D126:D130">
    <cfRule type="dataBar" priority="465">
      <dataBar>
        <cfvo type="min"/>
        <cfvo type="max"/>
        <color rgb="FFF08D5B"/>
      </dataBar>
    </cfRule>
  </conditionalFormatting>
  <conditionalFormatting sqref="D136:D142">
    <cfRule type="dataBar" priority="531">
      <dataBar>
        <cfvo type="min"/>
        <cfvo type="max"/>
        <color rgb="FFF08D5B"/>
      </dataBar>
    </cfRule>
  </conditionalFormatting>
  <conditionalFormatting sqref="D148:D154">
    <cfRule type="dataBar" priority="597">
      <dataBar>
        <cfvo type="min"/>
        <cfvo type="max"/>
        <color rgb="FFF08D5B"/>
      </dataBar>
    </cfRule>
  </conditionalFormatting>
  <conditionalFormatting sqref="D160:D237">
    <cfRule type="dataBar" priority="663">
      <dataBar>
        <cfvo type="min"/>
        <cfvo type="max"/>
        <color rgb="FFF08D5B"/>
      </dataBar>
    </cfRule>
  </conditionalFormatting>
  <conditionalFormatting sqref="D243:D320">
    <cfRule type="dataBar" priority="729">
      <dataBar>
        <cfvo type="min"/>
        <cfvo type="max"/>
        <color rgb="FFF08D5B"/>
      </dataBar>
    </cfRule>
  </conditionalFormatting>
  <conditionalFormatting sqref="D326:D329">
    <cfRule type="dataBar" priority="795">
      <dataBar>
        <cfvo type="min"/>
        <cfvo type="max"/>
        <color rgb="FFF08D5B"/>
      </dataBar>
    </cfRule>
  </conditionalFormatting>
  <conditionalFormatting sqref="D335:D341">
    <cfRule type="dataBar" priority="861">
      <dataBar>
        <cfvo type="min"/>
        <cfvo type="max"/>
        <color rgb="FFF08D5B"/>
      </dataBar>
    </cfRule>
  </conditionalFormatting>
  <conditionalFormatting sqref="D347:D351">
    <cfRule type="dataBar" priority="927">
      <dataBar>
        <cfvo type="min"/>
        <cfvo type="max"/>
        <color rgb="FFF08D5B"/>
      </dataBar>
    </cfRule>
  </conditionalFormatting>
  <conditionalFormatting sqref="D357:D360">
    <cfRule type="dataBar" priority="993">
      <dataBar>
        <cfvo type="min"/>
        <cfvo type="max"/>
        <color rgb="FFF08D5B"/>
      </dataBar>
    </cfRule>
  </conditionalFormatting>
  <conditionalFormatting sqref="D366:D372">
    <cfRule type="dataBar" priority="1059">
      <dataBar>
        <cfvo type="min"/>
        <cfvo type="max"/>
        <color rgb="FFF08D5B"/>
      </dataBar>
    </cfRule>
  </conditionalFormatting>
  <conditionalFormatting sqref="D378:D382">
    <cfRule type="dataBar" priority="1125">
      <dataBar>
        <cfvo type="min"/>
        <cfvo type="max"/>
        <color rgb="FFF08D5B"/>
      </dataBar>
    </cfRule>
  </conditionalFormatting>
  <conditionalFormatting sqref="D388:D391">
    <cfRule type="dataBar" priority="1191">
      <dataBar>
        <cfvo type="min"/>
        <cfvo type="max"/>
        <color rgb="FFF08D5B"/>
      </dataBar>
    </cfRule>
  </conditionalFormatting>
  <conditionalFormatting sqref="D397:D403">
    <cfRule type="dataBar" priority="1257">
      <dataBar>
        <cfvo type="min"/>
        <cfvo type="max"/>
        <color rgb="FFF08D5B"/>
      </dataBar>
    </cfRule>
  </conditionalFormatting>
  <conditionalFormatting sqref="D409:D413">
    <cfRule type="dataBar" priority="1323">
      <dataBar>
        <cfvo type="min"/>
        <cfvo type="max"/>
        <color rgb="FFF08D5B"/>
      </dataBar>
    </cfRule>
  </conditionalFormatting>
  <conditionalFormatting sqref="D419:D422">
    <cfRule type="dataBar" priority="1389">
      <dataBar>
        <cfvo type="min"/>
        <cfvo type="max"/>
        <color rgb="FFF08D5B"/>
      </dataBar>
    </cfRule>
  </conditionalFormatting>
  <conditionalFormatting sqref="D428:D434">
    <cfRule type="dataBar" priority="1455">
      <dataBar>
        <cfvo type="min"/>
        <cfvo type="max"/>
        <color rgb="FFF08D5B"/>
      </dataBar>
    </cfRule>
  </conditionalFormatting>
  <conditionalFormatting sqref="D440:D444">
    <cfRule type="dataBar" priority="1521">
      <dataBar>
        <cfvo type="min"/>
        <cfvo type="max"/>
        <color rgb="FFF08D5B"/>
      </dataBar>
    </cfRule>
  </conditionalFormatting>
  <conditionalFormatting sqref="D450:D453">
    <cfRule type="dataBar" priority="1587">
      <dataBar>
        <cfvo type="min"/>
        <cfvo type="max"/>
        <color rgb="FFF08D5B"/>
      </dataBar>
    </cfRule>
  </conditionalFormatting>
  <conditionalFormatting sqref="D459:D465">
    <cfRule type="dataBar" priority="1653">
      <dataBar>
        <cfvo type="min"/>
        <cfvo type="max"/>
        <color rgb="FFF08D5B"/>
      </dataBar>
    </cfRule>
  </conditionalFormatting>
  <conditionalFormatting sqref="D471:D475">
    <cfRule type="dataBar" priority="1719">
      <dataBar>
        <cfvo type="min"/>
        <cfvo type="max"/>
        <color rgb="FFF08D5B"/>
      </dataBar>
    </cfRule>
  </conditionalFormatting>
  <conditionalFormatting sqref="D481:D483">
    <cfRule type="dataBar" priority="1785">
      <dataBar>
        <cfvo type="min"/>
        <cfvo type="max"/>
        <color rgb="FFF08D5B"/>
      </dataBar>
    </cfRule>
  </conditionalFormatting>
  <conditionalFormatting sqref="D489:D600">
    <cfRule type="dataBar" priority="1851">
      <dataBar>
        <cfvo type="min"/>
        <cfvo type="max"/>
        <color rgb="FFF08D5B"/>
      </dataBar>
    </cfRule>
  </conditionalFormatting>
  <conditionalFormatting sqref="D606:D613">
    <cfRule type="dataBar" priority="1917">
      <dataBar>
        <cfvo type="min"/>
        <cfvo type="max"/>
        <color rgb="FFF08D5B"/>
      </dataBar>
    </cfRule>
  </conditionalFormatting>
  <conditionalFormatting sqref="D619:D626">
    <cfRule type="dataBar" priority="1983">
      <dataBar>
        <cfvo type="min"/>
        <cfvo type="max"/>
        <color rgb="FFF08D5B"/>
      </dataBar>
    </cfRule>
  </conditionalFormatting>
  <conditionalFormatting sqref="F6:F8">
    <cfRule type="dataBar" priority="4">
      <dataBar>
        <cfvo type="min"/>
        <cfvo type="max"/>
        <color rgb="FF628DC4"/>
      </dataBar>
    </cfRule>
  </conditionalFormatting>
  <conditionalFormatting sqref="F14:F19">
    <cfRule type="dataBar" priority="70">
      <dataBar>
        <cfvo type="min"/>
        <cfvo type="max"/>
        <color rgb="FF628DC4"/>
      </dataBar>
    </cfRule>
  </conditionalFormatting>
  <conditionalFormatting sqref="F25:F75">
    <cfRule type="dataBar" priority="136">
      <dataBar>
        <cfvo type="min"/>
        <cfvo type="max"/>
        <color rgb="FF628DC4"/>
      </dataBar>
    </cfRule>
  </conditionalFormatting>
  <conditionalFormatting sqref="F81:F83">
    <cfRule type="dataBar" priority="202">
      <dataBar>
        <cfvo type="min"/>
        <cfvo type="max"/>
        <color rgb="FF628DC4"/>
      </dataBar>
    </cfRule>
  </conditionalFormatting>
  <conditionalFormatting sqref="F89:F92">
    <cfRule type="dataBar" priority="268">
      <dataBar>
        <cfvo type="min"/>
        <cfvo type="max"/>
        <color rgb="FF628DC4"/>
      </dataBar>
    </cfRule>
  </conditionalFormatting>
  <conditionalFormatting sqref="F98:F108">
    <cfRule type="dataBar" priority="334">
      <dataBar>
        <cfvo type="min"/>
        <cfvo type="max"/>
        <color rgb="FF628DC4"/>
      </dataBar>
    </cfRule>
  </conditionalFormatting>
  <conditionalFormatting sqref="F114:F120">
    <cfRule type="dataBar" priority="400">
      <dataBar>
        <cfvo type="min"/>
        <cfvo type="max"/>
        <color rgb="FF628DC4"/>
      </dataBar>
    </cfRule>
  </conditionalFormatting>
  <conditionalFormatting sqref="F126:F130">
    <cfRule type="dataBar" priority="466">
      <dataBar>
        <cfvo type="min"/>
        <cfvo type="max"/>
        <color rgb="FF628DC4"/>
      </dataBar>
    </cfRule>
  </conditionalFormatting>
  <conditionalFormatting sqref="F136:F142">
    <cfRule type="dataBar" priority="532">
      <dataBar>
        <cfvo type="min"/>
        <cfvo type="max"/>
        <color rgb="FF628DC4"/>
      </dataBar>
    </cfRule>
  </conditionalFormatting>
  <conditionalFormatting sqref="F148:F154">
    <cfRule type="dataBar" priority="598">
      <dataBar>
        <cfvo type="min"/>
        <cfvo type="max"/>
        <color rgb="FF628DC4"/>
      </dataBar>
    </cfRule>
  </conditionalFormatting>
  <conditionalFormatting sqref="F160:F237">
    <cfRule type="dataBar" priority="664">
      <dataBar>
        <cfvo type="min"/>
        <cfvo type="max"/>
        <color rgb="FF628DC4"/>
      </dataBar>
    </cfRule>
  </conditionalFormatting>
  <conditionalFormatting sqref="F243:F320">
    <cfRule type="dataBar" priority="730">
      <dataBar>
        <cfvo type="min"/>
        <cfvo type="max"/>
        <color rgb="FF628DC4"/>
      </dataBar>
    </cfRule>
  </conditionalFormatting>
  <conditionalFormatting sqref="F326:F329">
    <cfRule type="dataBar" priority="796">
      <dataBar>
        <cfvo type="min"/>
        <cfvo type="max"/>
        <color rgb="FF628DC4"/>
      </dataBar>
    </cfRule>
  </conditionalFormatting>
  <conditionalFormatting sqref="F335:F341">
    <cfRule type="dataBar" priority="862">
      <dataBar>
        <cfvo type="min"/>
        <cfvo type="max"/>
        <color rgb="FF628DC4"/>
      </dataBar>
    </cfRule>
  </conditionalFormatting>
  <conditionalFormatting sqref="F347:F351">
    <cfRule type="dataBar" priority="928">
      <dataBar>
        <cfvo type="min"/>
        <cfvo type="max"/>
        <color rgb="FF628DC4"/>
      </dataBar>
    </cfRule>
  </conditionalFormatting>
  <conditionalFormatting sqref="F357:F360">
    <cfRule type="dataBar" priority="994">
      <dataBar>
        <cfvo type="min"/>
        <cfvo type="max"/>
        <color rgb="FF628DC4"/>
      </dataBar>
    </cfRule>
  </conditionalFormatting>
  <conditionalFormatting sqref="F366:F372">
    <cfRule type="dataBar" priority="1060">
      <dataBar>
        <cfvo type="min"/>
        <cfvo type="max"/>
        <color rgb="FF628DC4"/>
      </dataBar>
    </cfRule>
  </conditionalFormatting>
  <conditionalFormatting sqref="F378:F382">
    <cfRule type="dataBar" priority="1126">
      <dataBar>
        <cfvo type="min"/>
        <cfvo type="max"/>
        <color rgb="FF628DC4"/>
      </dataBar>
    </cfRule>
  </conditionalFormatting>
  <conditionalFormatting sqref="F388:F391">
    <cfRule type="dataBar" priority="1192">
      <dataBar>
        <cfvo type="min"/>
        <cfvo type="max"/>
        <color rgb="FF628DC4"/>
      </dataBar>
    </cfRule>
  </conditionalFormatting>
  <conditionalFormatting sqref="F397:F403">
    <cfRule type="dataBar" priority="1258">
      <dataBar>
        <cfvo type="min"/>
        <cfvo type="max"/>
        <color rgb="FF628DC4"/>
      </dataBar>
    </cfRule>
  </conditionalFormatting>
  <conditionalFormatting sqref="F409:F413">
    <cfRule type="dataBar" priority="1324">
      <dataBar>
        <cfvo type="min"/>
        <cfvo type="max"/>
        <color rgb="FF628DC4"/>
      </dataBar>
    </cfRule>
  </conditionalFormatting>
  <conditionalFormatting sqref="F419:F422">
    <cfRule type="dataBar" priority="1390">
      <dataBar>
        <cfvo type="min"/>
        <cfvo type="max"/>
        <color rgb="FF628DC4"/>
      </dataBar>
    </cfRule>
  </conditionalFormatting>
  <conditionalFormatting sqref="F428:F434">
    <cfRule type="dataBar" priority="1456">
      <dataBar>
        <cfvo type="min"/>
        <cfvo type="max"/>
        <color rgb="FF628DC4"/>
      </dataBar>
    </cfRule>
  </conditionalFormatting>
  <conditionalFormatting sqref="F440:F444">
    <cfRule type="dataBar" priority="1522">
      <dataBar>
        <cfvo type="min"/>
        <cfvo type="max"/>
        <color rgb="FF628DC4"/>
      </dataBar>
    </cfRule>
  </conditionalFormatting>
  <conditionalFormatting sqref="F450:F453">
    <cfRule type="dataBar" priority="1588">
      <dataBar>
        <cfvo type="min"/>
        <cfvo type="max"/>
        <color rgb="FF628DC4"/>
      </dataBar>
    </cfRule>
  </conditionalFormatting>
  <conditionalFormatting sqref="F459:F465">
    <cfRule type="dataBar" priority="1654">
      <dataBar>
        <cfvo type="min"/>
        <cfvo type="max"/>
        <color rgb="FF628DC4"/>
      </dataBar>
    </cfRule>
  </conditionalFormatting>
  <conditionalFormatting sqref="F471:F475">
    <cfRule type="dataBar" priority="1720">
      <dataBar>
        <cfvo type="min"/>
        <cfvo type="max"/>
        <color rgb="FF628DC4"/>
      </dataBar>
    </cfRule>
  </conditionalFormatting>
  <conditionalFormatting sqref="F481:F483">
    <cfRule type="dataBar" priority="1786">
      <dataBar>
        <cfvo type="min"/>
        <cfvo type="max"/>
        <color rgb="FF628DC4"/>
      </dataBar>
    </cfRule>
  </conditionalFormatting>
  <conditionalFormatting sqref="F489:F600">
    <cfRule type="dataBar" priority="1852">
      <dataBar>
        <cfvo type="min"/>
        <cfvo type="max"/>
        <color rgb="FF628DC4"/>
      </dataBar>
    </cfRule>
  </conditionalFormatting>
  <conditionalFormatting sqref="F606:F613">
    <cfRule type="dataBar" priority="1918">
      <dataBar>
        <cfvo type="min"/>
        <cfvo type="max"/>
        <color rgb="FF628DC4"/>
      </dataBar>
    </cfRule>
  </conditionalFormatting>
  <conditionalFormatting sqref="F619:F626">
    <cfRule type="dataBar" priority="1984">
      <dataBar>
        <cfvo type="min"/>
        <cfvo type="max"/>
        <color rgb="FF628DC4"/>
      </dataBar>
    </cfRule>
  </conditionalFormatting>
  <conditionalFormatting sqref="G6:G8">
    <cfRule type="dataBar" priority="5">
      <dataBar>
        <cfvo type="min"/>
        <cfvo type="max"/>
        <color rgb="FFFFB628"/>
      </dataBar>
    </cfRule>
  </conditionalFormatting>
  <conditionalFormatting sqref="G14:G19">
    <cfRule type="dataBar" priority="71">
      <dataBar>
        <cfvo type="min"/>
        <cfvo type="max"/>
        <color rgb="FFFFB628"/>
      </dataBar>
    </cfRule>
  </conditionalFormatting>
  <conditionalFormatting sqref="G25:G75">
    <cfRule type="dataBar" priority="137">
      <dataBar>
        <cfvo type="min"/>
        <cfvo type="max"/>
        <color rgb="FFFFB628"/>
      </dataBar>
    </cfRule>
  </conditionalFormatting>
  <conditionalFormatting sqref="G81:G83">
    <cfRule type="dataBar" priority="203">
      <dataBar>
        <cfvo type="min"/>
        <cfvo type="max"/>
        <color rgb="FFFFB628"/>
      </dataBar>
    </cfRule>
  </conditionalFormatting>
  <conditionalFormatting sqref="G89:G92">
    <cfRule type="dataBar" priority="269">
      <dataBar>
        <cfvo type="min"/>
        <cfvo type="max"/>
        <color rgb="FFFFB628"/>
      </dataBar>
    </cfRule>
  </conditionalFormatting>
  <conditionalFormatting sqref="G98:G108">
    <cfRule type="dataBar" priority="335">
      <dataBar>
        <cfvo type="min"/>
        <cfvo type="max"/>
        <color rgb="FFFFB628"/>
      </dataBar>
    </cfRule>
  </conditionalFormatting>
  <conditionalFormatting sqref="G114:G120">
    <cfRule type="dataBar" priority="401">
      <dataBar>
        <cfvo type="min"/>
        <cfvo type="max"/>
        <color rgb="FFFFB628"/>
      </dataBar>
    </cfRule>
  </conditionalFormatting>
  <conditionalFormatting sqref="G126:G130">
    <cfRule type="dataBar" priority="467">
      <dataBar>
        <cfvo type="min"/>
        <cfvo type="max"/>
        <color rgb="FFFFB628"/>
      </dataBar>
    </cfRule>
  </conditionalFormatting>
  <conditionalFormatting sqref="G136:G142">
    <cfRule type="dataBar" priority="533">
      <dataBar>
        <cfvo type="min"/>
        <cfvo type="max"/>
        <color rgb="FFFFB628"/>
      </dataBar>
    </cfRule>
  </conditionalFormatting>
  <conditionalFormatting sqref="G148:G154">
    <cfRule type="dataBar" priority="599">
      <dataBar>
        <cfvo type="min"/>
        <cfvo type="max"/>
        <color rgb="FFFFB628"/>
      </dataBar>
    </cfRule>
  </conditionalFormatting>
  <conditionalFormatting sqref="G160:G237">
    <cfRule type="dataBar" priority="665">
      <dataBar>
        <cfvo type="min"/>
        <cfvo type="max"/>
        <color rgb="FFFFB628"/>
      </dataBar>
    </cfRule>
  </conditionalFormatting>
  <conditionalFormatting sqref="G243:G320">
    <cfRule type="dataBar" priority="731">
      <dataBar>
        <cfvo type="min"/>
        <cfvo type="max"/>
        <color rgb="FFFFB628"/>
      </dataBar>
    </cfRule>
  </conditionalFormatting>
  <conditionalFormatting sqref="G326:G329">
    <cfRule type="dataBar" priority="797">
      <dataBar>
        <cfvo type="min"/>
        <cfvo type="max"/>
        <color rgb="FFFFB628"/>
      </dataBar>
    </cfRule>
  </conditionalFormatting>
  <conditionalFormatting sqref="G335:G341">
    <cfRule type="dataBar" priority="863">
      <dataBar>
        <cfvo type="min"/>
        <cfvo type="max"/>
        <color rgb="FFFFB628"/>
      </dataBar>
    </cfRule>
  </conditionalFormatting>
  <conditionalFormatting sqref="G347:G351">
    <cfRule type="dataBar" priority="929">
      <dataBar>
        <cfvo type="min"/>
        <cfvo type="max"/>
        <color rgb="FFFFB628"/>
      </dataBar>
    </cfRule>
  </conditionalFormatting>
  <conditionalFormatting sqref="G357:G360">
    <cfRule type="dataBar" priority="995">
      <dataBar>
        <cfvo type="min"/>
        <cfvo type="max"/>
        <color rgb="FFFFB628"/>
      </dataBar>
    </cfRule>
  </conditionalFormatting>
  <conditionalFormatting sqref="G366:G372">
    <cfRule type="dataBar" priority="1061">
      <dataBar>
        <cfvo type="min"/>
        <cfvo type="max"/>
        <color rgb="FFFFB628"/>
      </dataBar>
    </cfRule>
  </conditionalFormatting>
  <conditionalFormatting sqref="G378:G382">
    <cfRule type="dataBar" priority="1127">
      <dataBar>
        <cfvo type="min"/>
        <cfvo type="max"/>
        <color rgb="FFFFB628"/>
      </dataBar>
    </cfRule>
  </conditionalFormatting>
  <conditionalFormatting sqref="G388:G391">
    <cfRule type="dataBar" priority="1193">
      <dataBar>
        <cfvo type="min"/>
        <cfvo type="max"/>
        <color rgb="FFFFB628"/>
      </dataBar>
    </cfRule>
  </conditionalFormatting>
  <conditionalFormatting sqref="G397:G403">
    <cfRule type="dataBar" priority="1259">
      <dataBar>
        <cfvo type="min"/>
        <cfvo type="max"/>
        <color rgb="FFFFB628"/>
      </dataBar>
    </cfRule>
  </conditionalFormatting>
  <conditionalFormatting sqref="G409:G413">
    <cfRule type="dataBar" priority="1325">
      <dataBar>
        <cfvo type="min"/>
        <cfvo type="max"/>
        <color rgb="FFFFB628"/>
      </dataBar>
    </cfRule>
  </conditionalFormatting>
  <conditionalFormatting sqref="G419:G422">
    <cfRule type="dataBar" priority="1391">
      <dataBar>
        <cfvo type="min"/>
        <cfvo type="max"/>
        <color rgb="FFFFB628"/>
      </dataBar>
    </cfRule>
  </conditionalFormatting>
  <conditionalFormatting sqref="G428:G434">
    <cfRule type="dataBar" priority="1457">
      <dataBar>
        <cfvo type="min"/>
        <cfvo type="max"/>
        <color rgb="FFFFB628"/>
      </dataBar>
    </cfRule>
  </conditionalFormatting>
  <conditionalFormatting sqref="G440:G444">
    <cfRule type="dataBar" priority="1523">
      <dataBar>
        <cfvo type="min"/>
        <cfvo type="max"/>
        <color rgb="FFFFB628"/>
      </dataBar>
    </cfRule>
  </conditionalFormatting>
  <conditionalFormatting sqref="G450:G453">
    <cfRule type="dataBar" priority="1589">
      <dataBar>
        <cfvo type="min"/>
        <cfvo type="max"/>
        <color rgb="FFFFB628"/>
      </dataBar>
    </cfRule>
  </conditionalFormatting>
  <conditionalFormatting sqref="G459:G465">
    <cfRule type="dataBar" priority="1655">
      <dataBar>
        <cfvo type="min"/>
        <cfvo type="max"/>
        <color rgb="FFFFB628"/>
      </dataBar>
    </cfRule>
  </conditionalFormatting>
  <conditionalFormatting sqref="G471:G475">
    <cfRule type="dataBar" priority="1721">
      <dataBar>
        <cfvo type="min"/>
        <cfvo type="max"/>
        <color rgb="FFFFB628"/>
      </dataBar>
    </cfRule>
  </conditionalFormatting>
  <conditionalFormatting sqref="G481:G483">
    <cfRule type="dataBar" priority="1787">
      <dataBar>
        <cfvo type="min"/>
        <cfvo type="max"/>
        <color rgb="FFFFB628"/>
      </dataBar>
    </cfRule>
  </conditionalFormatting>
  <conditionalFormatting sqref="G489:G600">
    <cfRule type="dataBar" priority="1853">
      <dataBar>
        <cfvo type="min"/>
        <cfvo type="max"/>
        <color rgb="FFFFB628"/>
      </dataBar>
    </cfRule>
  </conditionalFormatting>
  <conditionalFormatting sqref="G606:G613">
    <cfRule type="dataBar" priority="1919">
      <dataBar>
        <cfvo type="min"/>
        <cfvo type="max"/>
        <color rgb="FFFFB628"/>
      </dataBar>
    </cfRule>
  </conditionalFormatting>
  <conditionalFormatting sqref="G619:G626">
    <cfRule type="dataBar" priority="1985">
      <dataBar>
        <cfvo type="min"/>
        <cfvo type="max"/>
        <color rgb="FFFFB628"/>
      </dataBar>
    </cfRule>
  </conditionalFormatting>
  <conditionalFormatting sqref="H6:H8">
    <cfRule type="dataBar" priority="6">
      <dataBar>
        <cfvo type="min"/>
        <cfvo type="max"/>
        <color rgb="FFF08D5B"/>
      </dataBar>
    </cfRule>
  </conditionalFormatting>
  <conditionalFormatting sqref="H14:H19">
    <cfRule type="dataBar" priority="72">
      <dataBar>
        <cfvo type="min"/>
        <cfvo type="max"/>
        <color rgb="FFF08D5B"/>
      </dataBar>
    </cfRule>
  </conditionalFormatting>
  <conditionalFormatting sqref="H25:H75">
    <cfRule type="dataBar" priority="138">
      <dataBar>
        <cfvo type="min"/>
        <cfvo type="max"/>
        <color rgb="FFF08D5B"/>
      </dataBar>
    </cfRule>
  </conditionalFormatting>
  <conditionalFormatting sqref="H81:H83">
    <cfRule type="dataBar" priority="204">
      <dataBar>
        <cfvo type="min"/>
        <cfvo type="max"/>
        <color rgb="FFF08D5B"/>
      </dataBar>
    </cfRule>
  </conditionalFormatting>
  <conditionalFormatting sqref="H89:H92">
    <cfRule type="dataBar" priority="270">
      <dataBar>
        <cfvo type="min"/>
        <cfvo type="max"/>
        <color rgb="FFF08D5B"/>
      </dataBar>
    </cfRule>
  </conditionalFormatting>
  <conditionalFormatting sqref="H98:H108">
    <cfRule type="dataBar" priority="336">
      <dataBar>
        <cfvo type="min"/>
        <cfvo type="max"/>
        <color rgb="FFF08D5B"/>
      </dataBar>
    </cfRule>
  </conditionalFormatting>
  <conditionalFormatting sqref="H114:H120">
    <cfRule type="dataBar" priority="402">
      <dataBar>
        <cfvo type="min"/>
        <cfvo type="max"/>
        <color rgb="FFF08D5B"/>
      </dataBar>
    </cfRule>
  </conditionalFormatting>
  <conditionalFormatting sqref="H126:H130">
    <cfRule type="dataBar" priority="468">
      <dataBar>
        <cfvo type="min"/>
        <cfvo type="max"/>
        <color rgb="FFF08D5B"/>
      </dataBar>
    </cfRule>
  </conditionalFormatting>
  <conditionalFormatting sqref="H136:H142">
    <cfRule type="dataBar" priority="534">
      <dataBar>
        <cfvo type="min"/>
        <cfvo type="max"/>
        <color rgb="FFF08D5B"/>
      </dataBar>
    </cfRule>
  </conditionalFormatting>
  <conditionalFormatting sqref="H148:H154">
    <cfRule type="dataBar" priority="600">
      <dataBar>
        <cfvo type="min"/>
        <cfvo type="max"/>
        <color rgb="FFF08D5B"/>
      </dataBar>
    </cfRule>
  </conditionalFormatting>
  <conditionalFormatting sqref="H160:H237">
    <cfRule type="dataBar" priority="666">
      <dataBar>
        <cfvo type="min"/>
        <cfvo type="max"/>
        <color rgb="FFF08D5B"/>
      </dataBar>
    </cfRule>
  </conditionalFormatting>
  <conditionalFormatting sqref="H243:H320">
    <cfRule type="dataBar" priority="732">
      <dataBar>
        <cfvo type="min"/>
        <cfvo type="max"/>
        <color rgb="FFF08D5B"/>
      </dataBar>
    </cfRule>
  </conditionalFormatting>
  <conditionalFormatting sqref="H326:H329">
    <cfRule type="dataBar" priority="798">
      <dataBar>
        <cfvo type="min"/>
        <cfvo type="max"/>
        <color rgb="FFF08D5B"/>
      </dataBar>
    </cfRule>
  </conditionalFormatting>
  <conditionalFormatting sqref="H335:H341">
    <cfRule type="dataBar" priority="864">
      <dataBar>
        <cfvo type="min"/>
        <cfvo type="max"/>
        <color rgb="FFF08D5B"/>
      </dataBar>
    </cfRule>
  </conditionalFormatting>
  <conditionalFormatting sqref="H347:H351">
    <cfRule type="dataBar" priority="930">
      <dataBar>
        <cfvo type="min"/>
        <cfvo type="max"/>
        <color rgb="FFF08D5B"/>
      </dataBar>
    </cfRule>
  </conditionalFormatting>
  <conditionalFormatting sqref="H357:H360">
    <cfRule type="dataBar" priority="996">
      <dataBar>
        <cfvo type="min"/>
        <cfvo type="max"/>
        <color rgb="FFF08D5B"/>
      </dataBar>
    </cfRule>
  </conditionalFormatting>
  <conditionalFormatting sqref="H366:H372">
    <cfRule type="dataBar" priority="1062">
      <dataBar>
        <cfvo type="min"/>
        <cfvo type="max"/>
        <color rgb="FFF08D5B"/>
      </dataBar>
    </cfRule>
  </conditionalFormatting>
  <conditionalFormatting sqref="H378:H382">
    <cfRule type="dataBar" priority="1128">
      <dataBar>
        <cfvo type="min"/>
        <cfvo type="max"/>
        <color rgb="FFF08D5B"/>
      </dataBar>
    </cfRule>
  </conditionalFormatting>
  <conditionalFormatting sqref="H388:H391">
    <cfRule type="dataBar" priority="1194">
      <dataBar>
        <cfvo type="min"/>
        <cfvo type="max"/>
        <color rgb="FFF08D5B"/>
      </dataBar>
    </cfRule>
  </conditionalFormatting>
  <conditionalFormatting sqref="H397:H403">
    <cfRule type="dataBar" priority="1260">
      <dataBar>
        <cfvo type="min"/>
        <cfvo type="max"/>
        <color rgb="FFF08D5B"/>
      </dataBar>
    </cfRule>
  </conditionalFormatting>
  <conditionalFormatting sqref="H409:H413">
    <cfRule type="dataBar" priority="1326">
      <dataBar>
        <cfvo type="min"/>
        <cfvo type="max"/>
        <color rgb="FFF08D5B"/>
      </dataBar>
    </cfRule>
  </conditionalFormatting>
  <conditionalFormatting sqref="H419:H422">
    <cfRule type="dataBar" priority="1392">
      <dataBar>
        <cfvo type="min"/>
        <cfvo type="max"/>
        <color rgb="FFF08D5B"/>
      </dataBar>
    </cfRule>
  </conditionalFormatting>
  <conditionalFormatting sqref="H428:H434">
    <cfRule type="dataBar" priority="1458">
      <dataBar>
        <cfvo type="min"/>
        <cfvo type="max"/>
        <color rgb="FFF08D5B"/>
      </dataBar>
    </cfRule>
  </conditionalFormatting>
  <conditionalFormatting sqref="H440:H444">
    <cfRule type="dataBar" priority="1524">
      <dataBar>
        <cfvo type="min"/>
        <cfvo type="max"/>
        <color rgb="FFF08D5B"/>
      </dataBar>
    </cfRule>
  </conditionalFormatting>
  <conditionalFormatting sqref="H450:H453">
    <cfRule type="dataBar" priority="1590">
      <dataBar>
        <cfvo type="min"/>
        <cfvo type="max"/>
        <color rgb="FFF08D5B"/>
      </dataBar>
    </cfRule>
  </conditionalFormatting>
  <conditionalFormatting sqref="H459:H465">
    <cfRule type="dataBar" priority="1656">
      <dataBar>
        <cfvo type="min"/>
        <cfvo type="max"/>
        <color rgb="FFF08D5B"/>
      </dataBar>
    </cfRule>
  </conditionalFormatting>
  <conditionalFormatting sqref="H471:H475">
    <cfRule type="dataBar" priority="1722">
      <dataBar>
        <cfvo type="min"/>
        <cfvo type="max"/>
        <color rgb="FFF08D5B"/>
      </dataBar>
    </cfRule>
  </conditionalFormatting>
  <conditionalFormatting sqref="H481:H483">
    <cfRule type="dataBar" priority="1788">
      <dataBar>
        <cfvo type="min"/>
        <cfvo type="max"/>
        <color rgb="FFF08D5B"/>
      </dataBar>
    </cfRule>
  </conditionalFormatting>
  <conditionalFormatting sqref="H489:H600">
    <cfRule type="dataBar" priority="1854">
      <dataBar>
        <cfvo type="min"/>
        <cfvo type="max"/>
        <color rgb="FFF08D5B"/>
      </dataBar>
    </cfRule>
  </conditionalFormatting>
  <conditionalFormatting sqref="H606:H613">
    <cfRule type="dataBar" priority="1920">
      <dataBar>
        <cfvo type="min"/>
        <cfvo type="max"/>
        <color rgb="FFF08D5B"/>
      </dataBar>
    </cfRule>
  </conditionalFormatting>
  <conditionalFormatting sqref="H619:H626">
    <cfRule type="dataBar" priority="1986">
      <dataBar>
        <cfvo type="min"/>
        <cfvo type="max"/>
        <color rgb="FFF08D5B"/>
      </dataBar>
    </cfRule>
  </conditionalFormatting>
  <conditionalFormatting sqref="J6:J8">
    <cfRule type="dataBar" priority="7">
      <dataBar>
        <cfvo type="min"/>
        <cfvo type="max"/>
        <color rgb="FF628DC4"/>
      </dataBar>
    </cfRule>
  </conditionalFormatting>
  <conditionalFormatting sqref="J14:J19">
    <cfRule type="dataBar" priority="73">
      <dataBar>
        <cfvo type="min"/>
        <cfvo type="max"/>
        <color rgb="FF628DC4"/>
      </dataBar>
    </cfRule>
  </conditionalFormatting>
  <conditionalFormatting sqref="J25:J75">
    <cfRule type="dataBar" priority="139">
      <dataBar>
        <cfvo type="min"/>
        <cfvo type="max"/>
        <color rgb="FF628DC4"/>
      </dataBar>
    </cfRule>
  </conditionalFormatting>
  <conditionalFormatting sqref="J81:J83">
    <cfRule type="dataBar" priority="205">
      <dataBar>
        <cfvo type="min"/>
        <cfvo type="max"/>
        <color rgb="FF628DC4"/>
      </dataBar>
    </cfRule>
  </conditionalFormatting>
  <conditionalFormatting sqref="J89:J92">
    <cfRule type="dataBar" priority="271">
      <dataBar>
        <cfvo type="min"/>
        <cfvo type="max"/>
        <color rgb="FF628DC4"/>
      </dataBar>
    </cfRule>
  </conditionalFormatting>
  <conditionalFormatting sqref="J98:J108">
    <cfRule type="dataBar" priority="337">
      <dataBar>
        <cfvo type="min"/>
        <cfvo type="max"/>
        <color rgb="FF628DC4"/>
      </dataBar>
    </cfRule>
  </conditionalFormatting>
  <conditionalFormatting sqref="J114:J120">
    <cfRule type="dataBar" priority="403">
      <dataBar>
        <cfvo type="min"/>
        <cfvo type="max"/>
        <color rgb="FF628DC4"/>
      </dataBar>
    </cfRule>
  </conditionalFormatting>
  <conditionalFormatting sqref="J126:J130">
    <cfRule type="dataBar" priority="469">
      <dataBar>
        <cfvo type="min"/>
        <cfvo type="max"/>
        <color rgb="FF628DC4"/>
      </dataBar>
    </cfRule>
  </conditionalFormatting>
  <conditionalFormatting sqref="J136:J142">
    <cfRule type="dataBar" priority="535">
      <dataBar>
        <cfvo type="min"/>
        <cfvo type="max"/>
        <color rgb="FF628DC4"/>
      </dataBar>
    </cfRule>
  </conditionalFormatting>
  <conditionalFormatting sqref="J148:J154">
    <cfRule type="dataBar" priority="601">
      <dataBar>
        <cfvo type="min"/>
        <cfvo type="max"/>
        <color rgb="FF628DC4"/>
      </dataBar>
    </cfRule>
  </conditionalFormatting>
  <conditionalFormatting sqref="J160:J237">
    <cfRule type="dataBar" priority="667">
      <dataBar>
        <cfvo type="min"/>
        <cfvo type="max"/>
        <color rgb="FF628DC4"/>
      </dataBar>
    </cfRule>
  </conditionalFormatting>
  <conditionalFormatting sqref="J243:J320">
    <cfRule type="dataBar" priority="733">
      <dataBar>
        <cfvo type="min"/>
        <cfvo type="max"/>
        <color rgb="FF628DC4"/>
      </dataBar>
    </cfRule>
  </conditionalFormatting>
  <conditionalFormatting sqref="J326:J329">
    <cfRule type="dataBar" priority="799">
      <dataBar>
        <cfvo type="min"/>
        <cfvo type="max"/>
        <color rgb="FF628DC4"/>
      </dataBar>
    </cfRule>
  </conditionalFormatting>
  <conditionalFormatting sqref="J335:J341">
    <cfRule type="dataBar" priority="865">
      <dataBar>
        <cfvo type="min"/>
        <cfvo type="max"/>
        <color rgb="FF628DC4"/>
      </dataBar>
    </cfRule>
  </conditionalFormatting>
  <conditionalFormatting sqref="J347:J351">
    <cfRule type="dataBar" priority="931">
      <dataBar>
        <cfvo type="min"/>
        <cfvo type="max"/>
        <color rgb="FF628DC4"/>
      </dataBar>
    </cfRule>
  </conditionalFormatting>
  <conditionalFormatting sqref="J357:J360">
    <cfRule type="dataBar" priority="997">
      <dataBar>
        <cfvo type="min"/>
        <cfvo type="max"/>
        <color rgb="FF628DC4"/>
      </dataBar>
    </cfRule>
  </conditionalFormatting>
  <conditionalFormatting sqref="J366:J372">
    <cfRule type="dataBar" priority="1063">
      <dataBar>
        <cfvo type="min"/>
        <cfvo type="max"/>
        <color rgb="FF628DC4"/>
      </dataBar>
    </cfRule>
  </conditionalFormatting>
  <conditionalFormatting sqref="J378:J382">
    <cfRule type="dataBar" priority="1129">
      <dataBar>
        <cfvo type="min"/>
        <cfvo type="max"/>
        <color rgb="FF628DC4"/>
      </dataBar>
    </cfRule>
  </conditionalFormatting>
  <conditionalFormatting sqref="J388:J391">
    <cfRule type="dataBar" priority="1195">
      <dataBar>
        <cfvo type="min"/>
        <cfvo type="max"/>
        <color rgb="FF628DC4"/>
      </dataBar>
    </cfRule>
  </conditionalFormatting>
  <conditionalFormatting sqref="J397:J403">
    <cfRule type="dataBar" priority="1261">
      <dataBar>
        <cfvo type="min"/>
        <cfvo type="max"/>
        <color rgb="FF628DC4"/>
      </dataBar>
    </cfRule>
  </conditionalFormatting>
  <conditionalFormatting sqref="J409:J413">
    <cfRule type="dataBar" priority="1327">
      <dataBar>
        <cfvo type="min"/>
        <cfvo type="max"/>
        <color rgb="FF628DC4"/>
      </dataBar>
    </cfRule>
  </conditionalFormatting>
  <conditionalFormatting sqref="J419:J422">
    <cfRule type="dataBar" priority="1393">
      <dataBar>
        <cfvo type="min"/>
        <cfvo type="max"/>
        <color rgb="FF628DC4"/>
      </dataBar>
    </cfRule>
  </conditionalFormatting>
  <conditionalFormatting sqref="J428:J434">
    <cfRule type="dataBar" priority="1459">
      <dataBar>
        <cfvo type="min"/>
        <cfvo type="max"/>
        <color rgb="FF628DC4"/>
      </dataBar>
    </cfRule>
  </conditionalFormatting>
  <conditionalFormatting sqref="J440:J444">
    <cfRule type="dataBar" priority="1525">
      <dataBar>
        <cfvo type="min"/>
        <cfvo type="max"/>
        <color rgb="FF628DC4"/>
      </dataBar>
    </cfRule>
  </conditionalFormatting>
  <conditionalFormatting sqref="J450:J453">
    <cfRule type="dataBar" priority="1591">
      <dataBar>
        <cfvo type="min"/>
        <cfvo type="max"/>
        <color rgb="FF628DC4"/>
      </dataBar>
    </cfRule>
  </conditionalFormatting>
  <conditionalFormatting sqref="J459:J465">
    <cfRule type="dataBar" priority="1657">
      <dataBar>
        <cfvo type="min"/>
        <cfvo type="max"/>
        <color rgb="FF628DC4"/>
      </dataBar>
    </cfRule>
  </conditionalFormatting>
  <conditionalFormatting sqref="J471:J475">
    <cfRule type="dataBar" priority="1723">
      <dataBar>
        <cfvo type="min"/>
        <cfvo type="max"/>
        <color rgb="FF628DC4"/>
      </dataBar>
    </cfRule>
  </conditionalFormatting>
  <conditionalFormatting sqref="J481:J483">
    <cfRule type="dataBar" priority="1789">
      <dataBar>
        <cfvo type="min"/>
        <cfvo type="max"/>
        <color rgb="FF628DC4"/>
      </dataBar>
    </cfRule>
  </conditionalFormatting>
  <conditionalFormatting sqref="J489:J600">
    <cfRule type="dataBar" priority="1855">
      <dataBar>
        <cfvo type="min"/>
        <cfvo type="max"/>
        <color rgb="FF628DC4"/>
      </dataBar>
    </cfRule>
  </conditionalFormatting>
  <conditionalFormatting sqref="J606:J613">
    <cfRule type="dataBar" priority="1921">
      <dataBar>
        <cfvo type="min"/>
        <cfvo type="max"/>
        <color rgb="FF628DC4"/>
      </dataBar>
    </cfRule>
  </conditionalFormatting>
  <conditionalFormatting sqref="J619:J626">
    <cfRule type="dataBar" priority="1987">
      <dataBar>
        <cfvo type="min"/>
        <cfvo type="max"/>
        <color rgb="FF628DC4"/>
      </dataBar>
    </cfRule>
  </conditionalFormatting>
  <conditionalFormatting sqref="K6:K8">
    <cfRule type="dataBar" priority="8">
      <dataBar>
        <cfvo type="min"/>
        <cfvo type="max"/>
        <color rgb="FFFFB628"/>
      </dataBar>
    </cfRule>
  </conditionalFormatting>
  <conditionalFormatting sqref="K14:K19">
    <cfRule type="dataBar" priority="74">
      <dataBar>
        <cfvo type="min"/>
        <cfvo type="max"/>
        <color rgb="FFFFB628"/>
      </dataBar>
    </cfRule>
  </conditionalFormatting>
  <conditionalFormatting sqref="K25:K75">
    <cfRule type="dataBar" priority="140">
      <dataBar>
        <cfvo type="min"/>
        <cfvo type="max"/>
        <color rgb="FFFFB628"/>
      </dataBar>
    </cfRule>
  </conditionalFormatting>
  <conditionalFormatting sqref="K81:K83">
    <cfRule type="dataBar" priority="206">
      <dataBar>
        <cfvo type="min"/>
        <cfvo type="max"/>
        <color rgb="FFFFB628"/>
      </dataBar>
    </cfRule>
  </conditionalFormatting>
  <conditionalFormatting sqref="K89:K92">
    <cfRule type="dataBar" priority="272">
      <dataBar>
        <cfvo type="min"/>
        <cfvo type="max"/>
        <color rgb="FFFFB628"/>
      </dataBar>
    </cfRule>
  </conditionalFormatting>
  <conditionalFormatting sqref="K98:K108">
    <cfRule type="dataBar" priority="338">
      <dataBar>
        <cfvo type="min"/>
        <cfvo type="max"/>
        <color rgb="FFFFB628"/>
      </dataBar>
    </cfRule>
  </conditionalFormatting>
  <conditionalFormatting sqref="K114:K120">
    <cfRule type="dataBar" priority="404">
      <dataBar>
        <cfvo type="min"/>
        <cfvo type="max"/>
        <color rgb="FFFFB628"/>
      </dataBar>
    </cfRule>
  </conditionalFormatting>
  <conditionalFormatting sqref="K126:K130">
    <cfRule type="dataBar" priority="470">
      <dataBar>
        <cfvo type="min"/>
        <cfvo type="max"/>
        <color rgb="FFFFB628"/>
      </dataBar>
    </cfRule>
  </conditionalFormatting>
  <conditionalFormatting sqref="K136:K142">
    <cfRule type="dataBar" priority="536">
      <dataBar>
        <cfvo type="min"/>
        <cfvo type="max"/>
        <color rgb="FFFFB628"/>
      </dataBar>
    </cfRule>
  </conditionalFormatting>
  <conditionalFormatting sqref="K148:K154">
    <cfRule type="dataBar" priority="602">
      <dataBar>
        <cfvo type="min"/>
        <cfvo type="max"/>
        <color rgb="FFFFB628"/>
      </dataBar>
    </cfRule>
  </conditionalFormatting>
  <conditionalFormatting sqref="K160:K237">
    <cfRule type="dataBar" priority="668">
      <dataBar>
        <cfvo type="min"/>
        <cfvo type="max"/>
        <color rgb="FFFFB628"/>
      </dataBar>
    </cfRule>
  </conditionalFormatting>
  <conditionalFormatting sqref="K243:K320">
    <cfRule type="dataBar" priority="734">
      <dataBar>
        <cfvo type="min"/>
        <cfvo type="max"/>
        <color rgb="FFFFB628"/>
      </dataBar>
    </cfRule>
  </conditionalFormatting>
  <conditionalFormatting sqref="K326:K329">
    <cfRule type="dataBar" priority="800">
      <dataBar>
        <cfvo type="min"/>
        <cfvo type="max"/>
        <color rgb="FFFFB628"/>
      </dataBar>
    </cfRule>
  </conditionalFormatting>
  <conditionalFormatting sqref="K335:K341">
    <cfRule type="dataBar" priority="866">
      <dataBar>
        <cfvo type="min"/>
        <cfvo type="max"/>
        <color rgb="FFFFB628"/>
      </dataBar>
    </cfRule>
  </conditionalFormatting>
  <conditionalFormatting sqref="K347:K351">
    <cfRule type="dataBar" priority="932">
      <dataBar>
        <cfvo type="min"/>
        <cfvo type="max"/>
        <color rgb="FFFFB628"/>
      </dataBar>
    </cfRule>
  </conditionalFormatting>
  <conditionalFormatting sqref="K357:K360">
    <cfRule type="dataBar" priority="998">
      <dataBar>
        <cfvo type="min"/>
        <cfvo type="max"/>
        <color rgb="FFFFB628"/>
      </dataBar>
    </cfRule>
  </conditionalFormatting>
  <conditionalFormatting sqref="K366:K372">
    <cfRule type="dataBar" priority="1064">
      <dataBar>
        <cfvo type="min"/>
        <cfvo type="max"/>
        <color rgb="FFFFB628"/>
      </dataBar>
    </cfRule>
  </conditionalFormatting>
  <conditionalFormatting sqref="K378:K382">
    <cfRule type="dataBar" priority="1130">
      <dataBar>
        <cfvo type="min"/>
        <cfvo type="max"/>
        <color rgb="FFFFB628"/>
      </dataBar>
    </cfRule>
  </conditionalFormatting>
  <conditionalFormatting sqref="K388:K391">
    <cfRule type="dataBar" priority="1196">
      <dataBar>
        <cfvo type="min"/>
        <cfvo type="max"/>
        <color rgb="FFFFB628"/>
      </dataBar>
    </cfRule>
  </conditionalFormatting>
  <conditionalFormatting sqref="K397:K403">
    <cfRule type="dataBar" priority="1262">
      <dataBar>
        <cfvo type="min"/>
        <cfvo type="max"/>
        <color rgb="FFFFB628"/>
      </dataBar>
    </cfRule>
  </conditionalFormatting>
  <conditionalFormatting sqref="K409:K413">
    <cfRule type="dataBar" priority="1328">
      <dataBar>
        <cfvo type="min"/>
        <cfvo type="max"/>
        <color rgb="FFFFB628"/>
      </dataBar>
    </cfRule>
  </conditionalFormatting>
  <conditionalFormatting sqref="K419:K422">
    <cfRule type="dataBar" priority="1394">
      <dataBar>
        <cfvo type="min"/>
        <cfvo type="max"/>
        <color rgb="FFFFB628"/>
      </dataBar>
    </cfRule>
  </conditionalFormatting>
  <conditionalFormatting sqref="K428:K434">
    <cfRule type="dataBar" priority="1460">
      <dataBar>
        <cfvo type="min"/>
        <cfvo type="max"/>
        <color rgb="FFFFB628"/>
      </dataBar>
    </cfRule>
  </conditionalFormatting>
  <conditionalFormatting sqref="K440:K444">
    <cfRule type="dataBar" priority="1526">
      <dataBar>
        <cfvo type="min"/>
        <cfvo type="max"/>
        <color rgb="FFFFB628"/>
      </dataBar>
    </cfRule>
  </conditionalFormatting>
  <conditionalFormatting sqref="K450:K453">
    <cfRule type="dataBar" priority="1592">
      <dataBar>
        <cfvo type="min"/>
        <cfvo type="max"/>
        <color rgb="FFFFB628"/>
      </dataBar>
    </cfRule>
  </conditionalFormatting>
  <conditionalFormatting sqref="K459:K465">
    <cfRule type="dataBar" priority="1658">
      <dataBar>
        <cfvo type="min"/>
        <cfvo type="max"/>
        <color rgb="FFFFB628"/>
      </dataBar>
    </cfRule>
  </conditionalFormatting>
  <conditionalFormatting sqref="K471:K475">
    <cfRule type="dataBar" priority="1724">
      <dataBar>
        <cfvo type="min"/>
        <cfvo type="max"/>
        <color rgb="FFFFB628"/>
      </dataBar>
    </cfRule>
  </conditionalFormatting>
  <conditionalFormatting sqref="K481:K483">
    <cfRule type="dataBar" priority="1790">
      <dataBar>
        <cfvo type="min"/>
        <cfvo type="max"/>
        <color rgb="FFFFB628"/>
      </dataBar>
    </cfRule>
  </conditionalFormatting>
  <conditionalFormatting sqref="K489:K600">
    <cfRule type="dataBar" priority="1856">
      <dataBar>
        <cfvo type="min"/>
        <cfvo type="max"/>
        <color rgb="FFFFB628"/>
      </dataBar>
    </cfRule>
  </conditionalFormatting>
  <conditionalFormatting sqref="K606:K613">
    <cfRule type="dataBar" priority="1922">
      <dataBar>
        <cfvo type="min"/>
        <cfvo type="max"/>
        <color rgb="FFFFB628"/>
      </dataBar>
    </cfRule>
  </conditionalFormatting>
  <conditionalFormatting sqref="K619:K626">
    <cfRule type="dataBar" priority="1988">
      <dataBar>
        <cfvo type="min"/>
        <cfvo type="max"/>
        <color rgb="FFFFB628"/>
      </dataBar>
    </cfRule>
  </conditionalFormatting>
  <conditionalFormatting sqref="L6:L8">
    <cfRule type="dataBar" priority="9">
      <dataBar>
        <cfvo type="min"/>
        <cfvo type="max"/>
        <color rgb="FFF08D5B"/>
      </dataBar>
    </cfRule>
  </conditionalFormatting>
  <conditionalFormatting sqref="L14:L19">
    <cfRule type="dataBar" priority="75">
      <dataBar>
        <cfvo type="min"/>
        <cfvo type="max"/>
        <color rgb="FFF08D5B"/>
      </dataBar>
    </cfRule>
  </conditionalFormatting>
  <conditionalFormatting sqref="L25:L75">
    <cfRule type="dataBar" priority="141">
      <dataBar>
        <cfvo type="min"/>
        <cfvo type="max"/>
        <color rgb="FFF08D5B"/>
      </dataBar>
    </cfRule>
  </conditionalFormatting>
  <conditionalFormatting sqref="L81:L83">
    <cfRule type="dataBar" priority="207">
      <dataBar>
        <cfvo type="min"/>
        <cfvo type="max"/>
        <color rgb="FFF08D5B"/>
      </dataBar>
    </cfRule>
  </conditionalFormatting>
  <conditionalFormatting sqref="L89:L92">
    <cfRule type="dataBar" priority="273">
      <dataBar>
        <cfvo type="min"/>
        <cfvo type="max"/>
        <color rgb="FFF08D5B"/>
      </dataBar>
    </cfRule>
  </conditionalFormatting>
  <conditionalFormatting sqref="L98:L108">
    <cfRule type="dataBar" priority="339">
      <dataBar>
        <cfvo type="min"/>
        <cfvo type="max"/>
        <color rgb="FFF08D5B"/>
      </dataBar>
    </cfRule>
  </conditionalFormatting>
  <conditionalFormatting sqref="L114:L120">
    <cfRule type="dataBar" priority="405">
      <dataBar>
        <cfvo type="min"/>
        <cfvo type="max"/>
        <color rgb="FFF08D5B"/>
      </dataBar>
    </cfRule>
  </conditionalFormatting>
  <conditionalFormatting sqref="L126:L130">
    <cfRule type="dataBar" priority="471">
      <dataBar>
        <cfvo type="min"/>
        <cfvo type="max"/>
        <color rgb="FFF08D5B"/>
      </dataBar>
    </cfRule>
  </conditionalFormatting>
  <conditionalFormatting sqref="L136:L142">
    <cfRule type="dataBar" priority="537">
      <dataBar>
        <cfvo type="min"/>
        <cfvo type="max"/>
        <color rgb="FFF08D5B"/>
      </dataBar>
    </cfRule>
  </conditionalFormatting>
  <conditionalFormatting sqref="L148:L154">
    <cfRule type="dataBar" priority="603">
      <dataBar>
        <cfvo type="min"/>
        <cfvo type="max"/>
        <color rgb="FFF08D5B"/>
      </dataBar>
    </cfRule>
  </conditionalFormatting>
  <conditionalFormatting sqref="L160:L237">
    <cfRule type="dataBar" priority="669">
      <dataBar>
        <cfvo type="min"/>
        <cfvo type="max"/>
        <color rgb="FFF08D5B"/>
      </dataBar>
    </cfRule>
  </conditionalFormatting>
  <conditionalFormatting sqref="L243:L320">
    <cfRule type="dataBar" priority="735">
      <dataBar>
        <cfvo type="min"/>
        <cfvo type="max"/>
        <color rgb="FFF08D5B"/>
      </dataBar>
    </cfRule>
  </conditionalFormatting>
  <conditionalFormatting sqref="L326:L329">
    <cfRule type="dataBar" priority="801">
      <dataBar>
        <cfvo type="min"/>
        <cfvo type="max"/>
        <color rgb="FFF08D5B"/>
      </dataBar>
    </cfRule>
  </conditionalFormatting>
  <conditionalFormatting sqref="L335:L341">
    <cfRule type="dataBar" priority="867">
      <dataBar>
        <cfvo type="min"/>
        <cfvo type="max"/>
        <color rgb="FFF08D5B"/>
      </dataBar>
    </cfRule>
  </conditionalFormatting>
  <conditionalFormatting sqref="L347:L351">
    <cfRule type="dataBar" priority="933">
      <dataBar>
        <cfvo type="min"/>
        <cfvo type="max"/>
        <color rgb="FFF08D5B"/>
      </dataBar>
    </cfRule>
  </conditionalFormatting>
  <conditionalFormatting sqref="L357:L360">
    <cfRule type="dataBar" priority="999">
      <dataBar>
        <cfvo type="min"/>
        <cfvo type="max"/>
        <color rgb="FFF08D5B"/>
      </dataBar>
    </cfRule>
  </conditionalFormatting>
  <conditionalFormatting sqref="L366:L372">
    <cfRule type="dataBar" priority="1065">
      <dataBar>
        <cfvo type="min"/>
        <cfvo type="max"/>
        <color rgb="FFF08D5B"/>
      </dataBar>
    </cfRule>
  </conditionalFormatting>
  <conditionalFormatting sqref="L378:L382">
    <cfRule type="dataBar" priority="1131">
      <dataBar>
        <cfvo type="min"/>
        <cfvo type="max"/>
        <color rgb="FFF08D5B"/>
      </dataBar>
    </cfRule>
  </conditionalFormatting>
  <conditionalFormatting sqref="L388:L391">
    <cfRule type="dataBar" priority="1197">
      <dataBar>
        <cfvo type="min"/>
        <cfvo type="max"/>
        <color rgb="FFF08D5B"/>
      </dataBar>
    </cfRule>
  </conditionalFormatting>
  <conditionalFormatting sqref="L397:L403">
    <cfRule type="dataBar" priority="1263">
      <dataBar>
        <cfvo type="min"/>
        <cfvo type="max"/>
        <color rgb="FFF08D5B"/>
      </dataBar>
    </cfRule>
  </conditionalFormatting>
  <conditionalFormatting sqref="L409:L413">
    <cfRule type="dataBar" priority="1329">
      <dataBar>
        <cfvo type="min"/>
        <cfvo type="max"/>
        <color rgb="FFF08D5B"/>
      </dataBar>
    </cfRule>
  </conditionalFormatting>
  <conditionalFormatting sqref="L419:L422">
    <cfRule type="dataBar" priority="1395">
      <dataBar>
        <cfvo type="min"/>
        <cfvo type="max"/>
        <color rgb="FFF08D5B"/>
      </dataBar>
    </cfRule>
  </conditionalFormatting>
  <conditionalFormatting sqref="L428:L434">
    <cfRule type="dataBar" priority="1461">
      <dataBar>
        <cfvo type="min"/>
        <cfvo type="max"/>
        <color rgb="FFF08D5B"/>
      </dataBar>
    </cfRule>
  </conditionalFormatting>
  <conditionalFormatting sqref="L440:L444">
    <cfRule type="dataBar" priority="1527">
      <dataBar>
        <cfvo type="min"/>
        <cfvo type="max"/>
        <color rgb="FFF08D5B"/>
      </dataBar>
    </cfRule>
  </conditionalFormatting>
  <conditionalFormatting sqref="L450:L453">
    <cfRule type="dataBar" priority="1593">
      <dataBar>
        <cfvo type="min"/>
        <cfvo type="max"/>
        <color rgb="FFF08D5B"/>
      </dataBar>
    </cfRule>
  </conditionalFormatting>
  <conditionalFormatting sqref="L459:L465">
    <cfRule type="dataBar" priority="1659">
      <dataBar>
        <cfvo type="min"/>
        <cfvo type="max"/>
        <color rgb="FFF08D5B"/>
      </dataBar>
    </cfRule>
  </conditionalFormatting>
  <conditionalFormatting sqref="L471:L475">
    <cfRule type="dataBar" priority="1725">
      <dataBar>
        <cfvo type="min"/>
        <cfvo type="max"/>
        <color rgb="FFF08D5B"/>
      </dataBar>
    </cfRule>
  </conditionalFormatting>
  <conditionalFormatting sqref="L481:L483">
    <cfRule type="dataBar" priority="1791">
      <dataBar>
        <cfvo type="min"/>
        <cfvo type="max"/>
        <color rgb="FFF08D5B"/>
      </dataBar>
    </cfRule>
  </conditionalFormatting>
  <conditionalFormatting sqref="L489:L600">
    <cfRule type="dataBar" priority="1857">
      <dataBar>
        <cfvo type="min"/>
        <cfvo type="max"/>
        <color rgb="FFF08D5B"/>
      </dataBar>
    </cfRule>
  </conditionalFormatting>
  <conditionalFormatting sqref="L606:L613">
    <cfRule type="dataBar" priority="1923">
      <dataBar>
        <cfvo type="min"/>
        <cfvo type="max"/>
        <color rgb="FFF08D5B"/>
      </dataBar>
    </cfRule>
  </conditionalFormatting>
  <conditionalFormatting sqref="L619:L626">
    <cfRule type="dataBar" priority="1989">
      <dataBar>
        <cfvo type="min"/>
        <cfvo type="max"/>
        <color rgb="FFF08D5B"/>
      </dataBar>
    </cfRule>
  </conditionalFormatting>
  <conditionalFormatting sqref="N6:N8">
    <cfRule type="dataBar" priority="10">
      <dataBar>
        <cfvo type="min"/>
        <cfvo type="max"/>
        <color rgb="FF628DC4"/>
      </dataBar>
    </cfRule>
  </conditionalFormatting>
  <conditionalFormatting sqref="N14:N19">
    <cfRule type="dataBar" priority="76">
      <dataBar>
        <cfvo type="min"/>
        <cfvo type="max"/>
        <color rgb="FF628DC4"/>
      </dataBar>
    </cfRule>
  </conditionalFormatting>
  <conditionalFormatting sqref="N25:N75">
    <cfRule type="dataBar" priority="142">
      <dataBar>
        <cfvo type="min"/>
        <cfvo type="max"/>
        <color rgb="FF628DC4"/>
      </dataBar>
    </cfRule>
  </conditionalFormatting>
  <conditionalFormatting sqref="N81:N83">
    <cfRule type="dataBar" priority="208">
      <dataBar>
        <cfvo type="min"/>
        <cfvo type="max"/>
        <color rgb="FF628DC4"/>
      </dataBar>
    </cfRule>
  </conditionalFormatting>
  <conditionalFormatting sqref="N89:N92">
    <cfRule type="dataBar" priority="274">
      <dataBar>
        <cfvo type="min"/>
        <cfvo type="max"/>
        <color rgb="FF628DC4"/>
      </dataBar>
    </cfRule>
  </conditionalFormatting>
  <conditionalFormatting sqref="N98:N108">
    <cfRule type="dataBar" priority="340">
      <dataBar>
        <cfvo type="min"/>
        <cfvo type="max"/>
        <color rgb="FF628DC4"/>
      </dataBar>
    </cfRule>
  </conditionalFormatting>
  <conditionalFormatting sqref="N114:N120">
    <cfRule type="dataBar" priority="406">
      <dataBar>
        <cfvo type="min"/>
        <cfvo type="max"/>
        <color rgb="FF628DC4"/>
      </dataBar>
    </cfRule>
  </conditionalFormatting>
  <conditionalFormatting sqref="N126:N130">
    <cfRule type="dataBar" priority="472">
      <dataBar>
        <cfvo type="min"/>
        <cfvo type="max"/>
        <color rgb="FF628DC4"/>
      </dataBar>
    </cfRule>
  </conditionalFormatting>
  <conditionalFormatting sqref="N136:N142">
    <cfRule type="dataBar" priority="538">
      <dataBar>
        <cfvo type="min"/>
        <cfvo type="max"/>
        <color rgb="FF628DC4"/>
      </dataBar>
    </cfRule>
  </conditionalFormatting>
  <conditionalFormatting sqref="N148:N154">
    <cfRule type="dataBar" priority="604">
      <dataBar>
        <cfvo type="min"/>
        <cfvo type="max"/>
        <color rgb="FF628DC4"/>
      </dataBar>
    </cfRule>
  </conditionalFormatting>
  <conditionalFormatting sqref="N160:N237">
    <cfRule type="dataBar" priority="670">
      <dataBar>
        <cfvo type="min"/>
        <cfvo type="max"/>
        <color rgb="FF628DC4"/>
      </dataBar>
    </cfRule>
  </conditionalFormatting>
  <conditionalFormatting sqref="N243:N320">
    <cfRule type="dataBar" priority="736">
      <dataBar>
        <cfvo type="min"/>
        <cfvo type="max"/>
        <color rgb="FF628DC4"/>
      </dataBar>
    </cfRule>
  </conditionalFormatting>
  <conditionalFormatting sqref="N326:N329">
    <cfRule type="dataBar" priority="802">
      <dataBar>
        <cfvo type="min"/>
        <cfvo type="max"/>
        <color rgb="FF628DC4"/>
      </dataBar>
    </cfRule>
  </conditionalFormatting>
  <conditionalFormatting sqref="N335:N341">
    <cfRule type="dataBar" priority="868">
      <dataBar>
        <cfvo type="min"/>
        <cfvo type="max"/>
        <color rgb="FF628DC4"/>
      </dataBar>
    </cfRule>
  </conditionalFormatting>
  <conditionalFormatting sqref="N347:N351">
    <cfRule type="dataBar" priority="934">
      <dataBar>
        <cfvo type="min"/>
        <cfvo type="max"/>
        <color rgb="FF628DC4"/>
      </dataBar>
    </cfRule>
  </conditionalFormatting>
  <conditionalFormatting sqref="N357:N360">
    <cfRule type="dataBar" priority="1000">
      <dataBar>
        <cfvo type="min"/>
        <cfvo type="max"/>
        <color rgb="FF628DC4"/>
      </dataBar>
    </cfRule>
  </conditionalFormatting>
  <conditionalFormatting sqref="N366:N372">
    <cfRule type="dataBar" priority="1066">
      <dataBar>
        <cfvo type="min"/>
        <cfvo type="max"/>
        <color rgb="FF628DC4"/>
      </dataBar>
    </cfRule>
  </conditionalFormatting>
  <conditionalFormatting sqref="N378:N382">
    <cfRule type="dataBar" priority="1132">
      <dataBar>
        <cfvo type="min"/>
        <cfvo type="max"/>
        <color rgb="FF628DC4"/>
      </dataBar>
    </cfRule>
  </conditionalFormatting>
  <conditionalFormatting sqref="N388:N391">
    <cfRule type="dataBar" priority="1198">
      <dataBar>
        <cfvo type="min"/>
        <cfvo type="max"/>
        <color rgb="FF628DC4"/>
      </dataBar>
    </cfRule>
  </conditionalFormatting>
  <conditionalFormatting sqref="N397:N403">
    <cfRule type="dataBar" priority="1264">
      <dataBar>
        <cfvo type="min"/>
        <cfvo type="max"/>
        <color rgb="FF628DC4"/>
      </dataBar>
    </cfRule>
  </conditionalFormatting>
  <conditionalFormatting sqref="N409:N413">
    <cfRule type="dataBar" priority="1330">
      <dataBar>
        <cfvo type="min"/>
        <cfvo type="max"/>
        <color rgb="FF628DC4"/>
      </dataBar>
    </cfRule>
  </conditionalFormatting>
  <conditionalFormatting sqref="N419:N422">
    <cfRule type="dataBar" priority="1396">
      <dataBar>
        <cfvo type="min"/>
        <cfvo type="max"/>
        <color rgb="FF628DC4"/>
      </dataBar>
    </cfRule>
  </conditionalFormatting>
  <conditionalFormatting sqref="N428:N434">
    <cfRule type="dataBar" priority="1462">
      <dataBar>
        <cfvo type="min"/>
        <cfvo type="max"/>
        <color rgb="FF628DC4"/>
      </dataBar>
    </cfRule>
  </conditionalFormatting>
  <conditionalFormatting sqref="N440:N444">
    <cfRule type="dataBar" priority="1528">
      <dataBar>
        <cfvo type="min"/>
        <cfvo type="max"/>
        <color rgb="FF628DC4"/>
      </dataBar>
    </cfRule>
  </conditionalFormatting>
  <conditionalFormatting sqref="N450:N453">
    <cfRule type="dataBar" priority="1594">
      <dataBar>
        <cfvo type="min"/>
        <cfvo type="max"/>
        <color rgb="FF628DC4"/>
      </dataBar>
    </cfRule>
  </conditionalFormatting>
  <conditionalFormatting sqref="N459:N465">
    <cfRule type="dataBar" priority="1660">
      <dataBar>
        <cfvo type="min"/>
        <cfvo type="max"/>
        <color rgb="FF628DC4"/>
      </dataBar>
    </cfRule>
  </conditionalFormatting>
  <conditionalFormatting sqref="N471:N475">
    <cfRule type="dataBar" priority="1726">
      <dataBar>
        <cfvo type="min"/>
        <cfvo type="max"/>
        <color rgb="FF628DC4"/>
      </dataBar>
    </cfRule>
  </conditionalFormatting>
  <conditionalFormatting sqref="N481:N483">
    <cfRule type="dataBar" priority="1792">
      <dataBar>
        <cfvo type="min"/>
        <cfvo type="max"/>
        <color rgb="FF628DC4"/>
      </dataBar>
    </cfRule>
  </conditionalFormatting>
  <conditionalFormatting sqref="N489:N600">
    <cfRule type="dataBar" priority="1858">
      <dataBar>
        <cfvo type="min"/>
        <cfvo type="max"/>
        <color rgb="FF628DC4"/>
      </dataBar>
    </cfRule>
  </conditionalFormatting>
  <conditionalFormatting sqref="N606:N613">
    <cfRule type="dataBar" priority="1924">
      <dataBar>
        <cfvo type="min"/>
        <cfvo type="max"/>
        <color rgb="FF628DC4"/>
      </dataBar>
    </cfRule>
  </conditionalFormatting>
  <conditionalFormatting sqref="N619:N626">
    <cfRule type="dataBar" priority="1990">
      <dataBar>
        <cfvo type="min"/>
        <cfvo type="max"/>
        <color rgb="FF628DC4"/>
      </dataBar>
    </cfRule>
  </conditionalFormatting>
  <conditionalFormatting sqref="O6:O8">
    <cfRule type="dataBar" priority="11">
      <dataBar>
        <cfvo type="min"/>
        <cfvo type="max"/>
        <color rgb="FFFFB628"/>
      </dataBar>
    </cfRule>
  </conditionalFormatting>
  <conditionalFormatting sqref="O14:O19">
    <cfRule type="dataBar" priority="77">
      <dataBar>
        <cfvo type="min"/>
        <cfvo type="max"/>
        <color rgb="FFFFB628"/>
      </dataBar>
    </cfRule>
  </conditionalFormatting>
  <conditionalFormatting sqref="O25:O75">
    <cfRule type="dataBar" priority="143">
      <dataBar>
        <cfvo type="min"/>
        <cfvo type="max"/>
        <color rgb="FFFFB628"/>
      </dataBar>
    </cfRule>
  </conditionalFormatting>
  <conditionalFormatting sqref="O81:O83">
    <cfRule type="dataBar" priority="209">
      <dataBar>
        <cfvo type="min"/>
        <cfvo type="max"/>
        <color rgb="FFFFB628"/>
      </dataBar>
    </cfRule>
  </conditionalFormatting>
  <conditionalFormatting sqref="O89:O92">
    <cfRule type="dataBar" priority="275">
      <dataBar>
        <cfvo type="min"/>
        <cfvo type="max"/>
        <color rgb="FFFFB628"/>
      </dataBar>
    </cfRule>
  </conditionalFormatting>
  <conditionalFormatting sqref="O98:O108">
    <cfRule type="dataBar" priority="341">
      <dataBar>
        <cfvo type="min"/>
        <cfvo type="max"/>
        <color rgb="FFFFB628"/>
      </dataBar>
    </cfRule>
  </conditionalFormatting>
  <conditionalFormatting sqref="O114:O120">
    <cfRule type="dataBar" priority="407">
      <dataBar>
        <cfvo type="min"/>
        <cfvo type="max"/>
        <color rgb="FFFFB628"/>
      </dataBar>
    </cfRule>
  </conditionalFormatting>
  <conditionalFormatting sqref="O126:O130">
    <cfRule type="dataBar" priority="473">
      <dataBar>
        <cfvo type="min"/>
        <cfvo type="max"/>
        <color rgb="FFFFB628"/>
      </dataBar>
    </cfRule>
  </conditionalFormatting>
  <conditionalFormatting sqref="O136:O142">
    <cfRule type="dataBar" priority="539">
      <dataBar>
        <cfvo type="min"/>
        <cfvo type="max"/>
        <color rgb="FFFFB628"/>
      </dataBar>
    </cfRule>
  </conditionalFormatting>
  <conditionalFormatting sqref="O148:O154">
    <cfRule type="dataBar" priority="605">
      <dataBar>
        <cfvo type="min"/>
        <cfvo type="max"/>
        <color rgb="FFFFB628"/>
      </dataBar>
    </cfRule>
  </conditionalFormatting>
  <conditionalFormatting sqref="O160:O237">
    <cfRule type="dataBar" priority="671">
      <dataBar>
        <cfvo type="min"/>
        <cfvo type="max"/>
        <color rgb="FFFFB628"/>
      </dataBar>
    </cfRule>
  </conditionalFormatting>
  <conditionalFormatting sqref="O243:O320">
    <cfRule type="dataBar" priority="737">
      <dataBar>
        <cfvo type="min"/>
        <cfvo type="max"/>
        <color rgb="FFFFB628"/>
      </dataBar>
    </cfRule>
  </conditionalFormatting>
  <conditionalFormatting sqref="O326:O329">
    <cfRule type="dataBar" priority="803">
      <dataBar>
        <cfvo type="min"/>
        <cfvo type="max"/>
        <color rgb="FFFFB628"/>
      </dataBar>
    </cfRule>
  </conditionalFormatting>
  <conditionalFormatting sqref="O335:O341">
    <cfRule type="dataBar" priority="869">
      <dataBar>
        <cfvo type="min"/>
        <cfvo type="max"/>
        <color rgb="FFFFB628"/>
      </dataBar>
    </cfRule>
  </conditionalFormatting>
  <conditionalFormatting sqref="O347:O351">
    <cfRule type="dataBar" priority="935">
      <dataBar>
        <cfvo type="min"/>
        <cfvo type="max"/>
        <color rgb="FFFFB628"/>
      </dataBar>
    </cfRule>
  </conditionalFormatting>
  <conditionalFormatting sqref="O357:O360">
    <cfRule type="dataBar" priority="1001">
      <dataBar>
        <cfvo type="min"/>
        <cfvo type="max"/>
        <color rgb="FFFFB628"/>
      </dataBar>
    </cfRule>
  </conditionalFormatting>
  <conditionalFormatting sqref="O366:O372">
    <cfRule type="dataBar" priority="1067">
      <dataBar>
        <cfvo type="min"/>
        <cfvo type="max"/>
        <color rgb="FFFFB628"/>
      </dataBar>
    </cfRule>
  </conditionalFormatting>
  <conditionalFormatting sqref="O378:O382">
    <cfRule type="dataBar" priority="1133">
      <dataBar>
        <cfvo type="min"/>
        <cfvo type="max"/>
        <color rgb="FFFFB628"/>
      </dataBar>
    </cfRule>
  </conditionalFormatting>
  <conditionalFormatting sqref="O388:O391">
    <cfRule type="dataBar" priority="1199">
      <dataBar>
        <cfvo type="min"/>
        <cfvo type="max"/>
        <color rgb="FFFFB628"/>
      </dataBar>
    </cfRule>
  </conditionalFormatting>
  <conditionalFormatting sqref="O397:O403">
    <cfRule type="dataBar" priority="1265">
      <dataBar>
        <cfvo type="min"/>
        <cfvo type="max"/>
        <color rgb="FFFFB628"/>
      </dataBar>
    </cfRule>
  </conditionalFormatting>
  <conditionalFormatting sqref="O409:O413">
    <cfRule type="dataBar" priority="1331">
      <dataBar>
        <cfvo type="min"/>
        <cfvo type="max"/>
        <color rgb="FFFFB628"/>
      </dataBar>
    </cfRule>
  </conditionalFormatting>
  <conditionalFormatting sqref="O419:O422">
    <cfRule type="dataBar" priority="1397">
      <dataBar>
        <cfvo type="min"/>
        <cfvo type="max"/>
        <color rgb="FFFFB628"/>
      </dataBar>
    </cfRule>
  </conditionalFormatting>
  <conditionalFormatting sqref="O428:O434">
    <cfRule type="dataBar" priority="1463">
      <dataBar>
        <cfvo type="min"/>
        <cfvo type="max"/>
        <color rgb="FFFFB628"/>
      </dataBar>
    </cfRule>
  </conditionalFormatting>
  <conditionalFormatting sqref="O440:O444">
    <cfRule type="dataBar" priority="1529">
      <dataBar>
        <cfvo type="min"/>
        <cfvo type="max"/>
        <color rgb="FFFFB628"/>
      </dataBar>
    </cfRule>
  </conditionalFormatting>
  <conditionalFormatting sqref="O450:O453">
    <cfRule type="dataBar" priority="1595">
      <dataBar>
        <cfvo type="min"/>
        <cfvo type="max"/>
        <color rgb="FFFFB628"/>
      </dataBar>
    </cfRule>
  </conditionalFormatting>
  <conditionalFormatting sqref="O459:O465">
    <cfRule type="dataBar" priority="1661">
      <dataBar>
        <cfvo type="min"/>
        <cfvo type="max"/>
        <color rgb="FFFFB628"/>
      </dataBar>
    </cfRule>
  </conditionalFormatting>
  <conditionalFormatting sqref="O471:O475">
    <cfRule type="dataBar" priority="1727">
      <dataBar>
        <cfvo type="min"/>
        <cfvo type="max"/>
        <color rgb="FFFFB628"/>
      </dataBar>
    </cfRule>
  </conditionalFormatting>
  <conditionalFormatting sqref="O481:O483">
    <cfRule type="dataBar" priority="1793">
      <dataBar>
        <cfvo type="min"/>
        <cfvo type="max"/>
        <color rgb="FFFFB628"/>
      </dataBar>
    </cfRule>
  </conditionalFormatting>
  <conditionalFormatting sqref="O489:O600">
    <cfRule type="dataBar" priority="1859">
      <dataBar>
        <cfvo type="min"/>
        <cfvo type="max"/>
        <color rgb="FFFFB628"/>
      </dataBar>
    </cfRule>
  </conditionalFormatting>
  <conditionalFormatting sqref="O606:O613">
    <cfRule type="dataBar" priority="1925">
      <dataBar>
        <cfvo type="min"/>
        <cfvo type="max"/>
        <color rgb="FFFFB628"/>
      </dataBar>
    </cfRule>
  </conditionalFormatting>
  <conditionalFormatting sqref="O619:O626">
    <cfRule type="dataBar" priority="1991">
      <dataBar>
        <cfvo type="min"/>
        <cfvo type="max"/>
        <color rgb="FFFFB628"/>
      </dataBar>
    </cfRule>
  </conditionalFormatting>
  <conditionalFormatting sqref="P6:P8">
    <cfRule type="dataBar" priority="12">
      <dataBar>
        <cfvo type="min"/>
        <cfvo type="max"/>
        <color rgb="FFF08D5B"/>
      </dataBar>
    </cfRule>
  </conditionalFormatting>
  <conditionalFormatting sqref="P14:P19">
    <cfRule type="dataBar" priority="78">
      <dataBar>
        <cfvo type="min"/>
        <cfvo type="max"/>
        <color rgb="FFF08D5B"/>
      </dataBar>
    </cfRule>
  </conditionalFormatting>
  <conditionalFormatting sqref="P25:P75">
    <cfRule type="dataBar" priority="144">
      <dataBar>
        <cfvo type="min"/>
        <cfvo type="max"/>
        <color rgb="FFF08D5B"/>
      </dataBar>
    </cfRule>
  </conditionalFormatting>
  <conditionalFormatting sqref="P81:P83">
    <cfRule type="dataBar" priority="210">
      <dataBar>
        <cfvo type="min"/>
        <cfvo type="max"/>
        <color rgb="FFF08D5B"/>
      </dataBar>
    </cfRule>
  </conditionalFormatting>
  <conditionalFormatting sqref="P89:P92">
    <cfRule type="dataBar" priority="276">
      <dataBar>
        <cfvo type="min"/>
        <cfvo type="max"/>
        <color rgb="FFF08D5B"/>
      </dataBar>
    </cfRule>
  </conditionalFormatting>
  <conditionalFormatting sqref="P98:P108">
    <cfRule type="dataBar" priority="342">
      <dataBar>
        <cfvo type="min"/>
        <cfvo type="max"/>
        <color rgb="FFF08D5B"/>
      </dataBar>
    </cfRule>
  </conditionalFormatting>
  <conditionalFormatting sqref="P114:P120">
    <cfRule type="dataBar" priority="408">
      <dataBar>
        <cfvo type="min"/>
        <cfvo type="max"/>
        <color rgb="FFF08D5B"/>
      </dataBar>
    </cfRule>
  </conditionalFormatting>
  <conditionalFormatting sqref="P126:P130">
    <cfRule type="dataBar" priority="474">
      <dataBar>
        <cfvo type="min"/>
        <cfvo type="max"/>
        <color rgb="FFF08D5B"/>
      </dataBar>
    </cfRule>
  </conditionalFormatting>
  <conditionalFormatting sqref="P136:P142">
    <cfRule type="dataBar" priority="540">
      <dataBar>
        <cfvo type="min"/>
        <cfvo type="max"/>
        <color rgb="FFF08D5B"/>
      </dataBar>
    </cfRule>
  </conditionalFormatting>
  <conditionalFormatting sqref="P148:P154">
    <cfRule type="dataBar" priority="606">
      <dataBar>
        <cfvo type="min"/>
        <cfvo type="max"/>
        <color rgb="FFF08D5B"/>
      </dataBar>
    </cfRule>
  </conditionalFormatting>
  <conditionalFormatting sqref="P160:P237">
    <cfRule type="dataBar" priority="672">
      <dataBar>
        <cfvo type="min"/>
        <cfvo type="max"/>
        <color rgb="FFF08D5B"/>
      </dataBar>
    </cfRule>
  </conditionalFormatting>
  <conditionalFormatting sqref="P243:P320">
    <cfRule type="dataBar" priority="738">
      <dataBar>
        <cfvo type="min"/>
        <cfvo type="max"/>
        <color rgb="FFF08D5B"/>
      </dataBar>
    </cfRule>
  </conditionalFormatting>
  <conditionalFormatting sqref="P326:P329">
    <cfRule type="dataBar" priority="804">
      <dataBar>
        <cfvo type="min"/>
        <cfvo type="max"/>
        <color rgb="FFF08D5B"/>
      </dataBar>
    </cfRule>
  </conditionalFormatting>
  <conditionalFormatting sqref="P335:P341">
    <cfRule type="dataBar" priority="870">
      <dataBar>
        <cfvo type="min"/>
        <cfvo type="max"/>
        <color rgb="FFF08D5B"/>
      </dataBar>
    </cfRule>
  </conditionalFormatting>
  <conditionalFormatting sqref="P347:P351">
    <cfRule type="dataBar" priority="936">
      <dataBar>
        <cfvo type="min"/>
        <cfvo type="max"/>
        <color rgb="FFF08D5B"/>
      </dataBar>
    </cfRule>
  </conditionalFormatting>
  <conditionalFormatting sqref="P357:P360">
    <cfRule type="dataBar" priority="1002">
      <dataBar>
        <cfvo type="min"/>
        <cfvo type="max"/>
        <color rgb="FFF08D5B"/>
      </dataBar>
    </cfRule>
  </conditionalFormatting>
  <conditionalFormatting sqref="P366:P372">
    <cfRule type="dataBar" priority="1068">
      <dataBar>
        <cfvo type="min"/>
        <cfvo type="max"/>
        <color rgb="FFF08D5B"/>
      </dataBar>
    </cfRule>
  </conditionalFormatting>
  <conditionalFormatting sqref="P378:P382">
    <cfRule type="dataBar" priority="1134">
      <dataBar>
        <cfvo type="min"/>
        <cfvo type="max"/>
        <color rgb="FFF08D5B"/>
      </dataBar>
    </cfRule>
  </conditionalFormatting>
  <conditionalFormatting sqref="P388:P391">
    <cfRule type="dataBar" priority="1200">
      <dataBar>
        <cfvo type="min"/>
        <cfvo type="max"/>
        <color rgb="FFF08D5B"/>
      </dataBar>
    </cfRule>
  </conditionalFormatting>
  <conditionalFormatting sqref="P397:P403">
    <cfRule type="dataBar" priority="1266">
      <dataBar>
        <cfvo type="min"/>
        <cfvo type="max"/>
        <color rgb="FFF08D5B"/>
      </dataBar>
    </cfRule>
  </conditionalFormatting>
  <conditionalFormatting sqref="P409:P413">
    <cfRule type="dataBar" priority="1332">
      <dataBar>
        <cfvo type="min"/>
        <cfvo type="max"/>
        <color rgb="FFF08D5B"/>
      </dataBar>
    </cfRule>
  </conditionalFormatting>
  <conditionalFormatting sqref="P419:P422">
    <cfRule type="dataBar" priority="1398">
      <dataBar>
        <cfvo type="min"/>
        <cfvo type="max"/>
        <color rgb="FFF08D5B"/>
      </dataBar>
    </cfRule>
  </conditionalFormatting>
  <conditionalFormatting sqref="P428:P434">
    <cfRule type="dataBar" priority="1464">
      <dataBar>
        <cfvo type="min"/>
        <cfvo type="max"/>
        <color rgb="FFF08D5B"/>
      </dataBar>
    </cfRule>
  </conditionalFormatting>
  <conditionalFormatting sqref="P440:P444">
    <cfRule type="dataBar" priority="1530">
      <dataBar>
        <cfvo type="min"/>
        <cfvo type="max"/>
        <color rgb="FFF08D5B"/>
      </dataBar>
    </cfRule>
  </conditionalFormatting>
  <conditionalFormatting sqref="P450:P453">
    <cfRule type="dataBar" priority="1596">
      <dataBar>
        <cfvo type="min"/>
        <cfvo type="max"/>
        <color rgb="FFF08D5B"/>
      </dataBar>
    </cfRule>
  </conditionalFormatting>
  <conditionalFormatting sqref="P459:P465">
    <cfRule type="dataBar" priority="1662">
      <dataBar>
        <cfvo type="min"/>
        <cfvo type="max"/>
        <color rgb="FFF08D5B"/>
      </dataBar>
    </cfRule>
  </conditionalFormatting>
  <conditionalFormatting sqref="P471:P475">
    <cfRule type="dataBar" priority="1728">
      <dataBar>
        <cfvo type="min"/>
        <cfvo type="max"/>
        <color rgb="FFF08D5B"/>
      </dataBar>
    </cfRule>
  </conditionalFormatting>
  <conditionalFormatting sqref="P481:P483">
    <cfRule type="dataBar" priority="1794">
      <dataBar>
        <cfvo type="min"/>
        <cfvo type="max"/>
        <color rgb="FFF08D5B"/>
      </dataBar>
    </cfRule>
  </conditionalFormatting>
  <conditionalFormatting sqref="P489:P600">
    <cfRule type="dataBar" priority="1860">
      <dataBar>
        <cfvo type="min"/>
        <cfvo type="max"/>
        <color rgb="FFF08D5B"/>
      </dataBar>
    </cfRule>
  </conditionalFormatting>
  <conditionalFormatting sqref="P606:P613">
    <cfRule type="dataBar" priority="1926">
      <dataBar>
        <cfvo type="min"/>
        <cfvo type="max"/>
        <color rgb="FFF08D5B"/>
      </dataBar>
    </cfRule>
  </conditionalFormatting>
  <conditionalFormatting sqref="P619:P626">
    <cfRule type="dataBar" priority="1992">
      <dataBar>
        <cfvo type="min"/>
        <cfvo type="max"/>
        <color rgb="FFF08D5B"/>
      </dataBar>
    </cfRule>
  </conditionalFormatting>
  <conditionalFormatting sqref="R6:R8">
    <cfRule type="dataBar" priority="13">
      <dataBar>
        <cfvo type="min"/>
        <cfvo type="max"/>
        <color rgb="FF628DC4"/>
      </dataBar>
    </cfRule>
  </conditionalFormatting>
  <conditionalFormatting sqref="R14:R19">
    <cfRule type="dataBar" priority="79">
      <dataBar>
        <cfvo type="min"/>
        <cfvo type="max"/>
        <color rgb="FF628DC4"/>
      </dataBar>
    </cfRule>
  </conditionalFormatting>
  <conditionalFormatting sqref="R25:R75">
    <cfRule type="dataBar" priority="145">
      <dataBar>
        <cfvo type="min"/>
        <cfvo type="max"/>
        <color rgb="FF628DC4"/>
      </dataBar>
    </cfRule>
  </conditionalFormatting>
  <conditionalFormatting sqref="R81:R83">
    <cfRule type="dataBar" priority="211">
      <dataBar>
        <cfvo type="min"/>
        <cfvo type="max"/>
        <color rgb="FF628DC4"/>
      </dataBar>
    </cfRule>
  </conditionalFormatting>
  <conditionalFormatting sqref="R89:R92">
    <cfRule type="dataBar" priority="277">
      <dataBar>
        <cfvo type="min"/>
        <cfvo type="max"/>
        <color rgb="FF628DC4"/>
      </dataBar>
    </cfRule>
  </conditionalFormatting>
  <conditionalFormatting sqref="R98:R108">
    <cfRule type="dataBar" priority="343">
      <dataBar>
        <cfvo type="min"/>
        <cfvo type="max"/>
        <color rgb="FF628DC4"/>
      </dataBar>
    </cfRule>
  </conditionalFormatting>
  <conditionalFormatting sqref="R114:R120">
    <cfRule type="dataBar" priority="409">
      <dataBar>
        <cfvo type="min"/>
        <cfvo type="max"/>
        <color rgb="FF628DC4"/>
      </dataBar>
    </cfRule>
  </conditionalFormatting>
  <conditionalFormatting sqref="R126:R130">
    <cfRule type="dataBar" priority="475">
      <dataBar>
        <cfvo type="min"/>
        <cfvo type="max"/>
        <color rgb="FF628DC4"/>
      </dataBar>
    </cfRule>
  </conditionalFormatting>
  <conditionalFormatting sqref="R136:R142">
    <cfRule type="dataBar" priority="541">
      <dataBar>
        <cfvo type="min"/>
        <cfvo type="max"/>
        <color rgb="FF628DC4"/>
      </dataBar>
    </cfRule>
  </conditionalFormatting>
  <conditionalFormatting sqref="R148:R154">
    <cfRule type="dataBar" priority="607">
      <dataBar>
        <cfvo type="min"/>
        <cfvo type="max"/>
        <color rgb="FF628DC4"/>
      </dataBar>
    </cfRule>
  </conditionalFormatting>
  <conditionalFormatting sqref="R160:R237">
    <cfRule type="dataBar" priority="673">
      <dataBar>
        <cfvo type="min"/>
        <cfvo type="max"/>
        <color rgb="FF628DC4"/>
      </dataBar>
    </cfRule>
  </conditionalFormatting>
  <conditionalFormatting sqref="R243:R320">
    <cfRule type="dataBar" priority="739">
      <dataBar>
        <cfvo type="min"/>
        <cfvo type="max"/>
        <color rgb="FF628DC4"/>
      </dataBar>
    </cfRule>
  </conditionalFormatting>
  <conditionalFormatting sqref="R326:R329">
    <cfRule type="dataBar" priority="805">
      <dataBar>
        <cfvo type="min"/>
        <cfvo type="max"/>
        <color rgb="FF628DC4"/>
      </dataBar>
    </cfRule>
  </conditionalFormatting>
  <conditionalFormatting sqref="R335:R341">
    <cfRule type="dataBar" priority="871">
      <dataBar>
        <cfvo type="min"/>
        <cfvo type="max"/>
        <color rgb="FF628DC4"/>
      </dataBar>
    </cfRule>
  </conditionalFormatting>
  <conditionalFormatting sqref="R347:R351">
    <cfRule type="dataBar" priority="937">
      <dataBar>
        <cfvo type="min"/>
        <cfvo type="max"/>
        <color rgb="FF628DC4"/>
      </dataBar>
    </cfRule>
  </conditionalFormatting>
  <conditionalFormatting sqref="R357:R360">
    <cfRule type="dataBar" priority="1003">
      <dataBar>
        <cfvo type="min"/>
        <cfvo type="max"/>
        <color rgb="FF628DC4"/>
      </dataBar>
    </cfRule>
  </conditionalFormatting>
  <conditionalFormatting sqref="R366:R372">
    <cfRule type="dataBar" priority="1069">
      <dataBar>
        <cfvo type="min"/>
        <cfvo type="max"/>
        <color rgb="FF628DC4"/>
      </dataBar>
    </cfRule>
  </conditionalFormatting>
  <conditionalFormatting sqref="R378:R382">
    <cfRule type="dataBar" priority="1135">
      <dataBar>
        <cfvo type="min"/>
        <cfvo type="max"/>
        <color rgb="FF628DC4"/>
      </dataBar>
    </cfRule>
  </conditionalFormatting>
  <conditionalFormatting sqref="R388:R391">
    <cfRule type="dataBar" priority="1201">
      <dataBar>
        <cfvo type="min"/>
        <cfvo type="max"/>
        <color rgb="FF628DC4"/>
      </dataBar>
    </cfRule>
  </conditionalFormatting>
  <conditionalFormatting sqref="R397:R403">
    <cfRule type="dataBar" priority="1267">
      <dataBar>
        <cfvo type="min"/>
        <cfvo type="max"/>
        <color rgb="FF628DC4"/>
      </dataBar>
    </cfRule>
  </conditionalFormatting>
  <conditionalFormatting sqref="R409:R413">
    <cfRule type="dataBar" priority="1333">
      <dataBar>
        <cfvo type="min"/>
        <cfvo type="max"/>
        <color rgb="FF628DC4"/>
      </dataBar>
    </cfRule>
  </conditionalFormatting>
  <conditionalFormatting sqref="R419:R422">
    <cfRule type="dataBar" priority="1399">
      <dataBar>
        <cfvo type="min"/>
        <cfvo type="max"/>
        <color rgb="FF628DC4"/>
      </dataBar>
    </cfRule>
  </conditionalFormatting>
  <conditionalFormatting sqref="R428:R434">
    <cfRule type="dataBar" priority="1465">
      <dataBar>
        <cfvo type="min"/>
        <cfvo type="max"/>
        <color rgb="FF628DC4"/>
      </dataBar>
    </cfRule>
  </conditionalFormatting>
  <conditionalFormatting sqref="R440:R444">
    <cfRule type="dataBar" priority="1531">
      <dataBar>
        <cfvo type="min"/>
        <cfvo type="max"/>
        <color rgb="FF628DC4"/>
      </dataBar>
    </cfRule>
  </conditionalFormatting>
  <conditionalFormatting sqref="R450:R453">
    <cfRule type="dataBar" priority="1597">
      <dataBar>
        <cfvo type="min"/>
        <cfvo type="max"/>
        <color rgb="FF628DC4"/>
      </dataBar>
    </cfRule>
  </conditionalFormatting>
  <conditionalFormatting sqref="R459:R465">
    <cfRule type="dataBar" priority="1663">
      <dataBar>
        <cfvo type="min"/>
        <cfvo type="max"/>
        <color rgb="FF628DC4"/>
      </dataBar>
    </cfRule>
  </conditionalFormatting>
  <conditionalFormatting sqref="R471:R475">
    <cfRule type="dataBar" priority="1729">
      <dataBar>
        <cfvo type="min"/>
        <cfvo type="max"/>
        <color rgb="FF628DC4"/>
      </dataBar>
    </cfRule>
  </conditionalFormatting>
  <conditionalFormatting sqref="R481:R483">
    <cfRule type="dataBar" priority="1795">
      <dataBar>
        <cfvo type="min"/>
        <cfvo type="max"/>
        <color rgb="FF628DC4"/>
      </dataBar>
    </cfRule>
  </conditionalFormatting>
  <conditionalFormatting sqref="R489:R600">
    <cfRule type="dataBar" priority="1861">
      <dataBar>
        <cfvo type="min"/>
        <cfvo type="max"/>
        <color rgb="FF628DC4"/>
      </dataBar>
    </cfRule>
  </conditionalFormatting>
  <conditionalFormatting sqref="R606:R613">
    <cfRule type="dataBar" priority="1927">
      <dataBar>
        <cfvo type="min"/>
        <cfvo type="max"/>
        <color rgb="FF628DC4"/>
      </dataBar>
    </cfRule>
  </conditionalFormatting>
  <conditionalFormatting sqref="R619:R626">
    <cfRule type="dataBar" priority="1993">
      <dataBar>
        <cfvo type="min"/>
        <cfvo type="max"/>
        <color rgb="FF628DC4"/>
      </dataBar>
    </cfRule>
  </conditionalFormatting>
  <conditionalFormatting sqref="S6:S8">
    <cfRule type="dataBar" priority="14">
      <dataBar>
        <cfvo type="min"/>
        <cfvo type="max"/>
        <color rgb="FFFFB628"/>
      </dataBar>
    </cfRule>
  </conditionalFormatting>
  <conditionalFormatting sqref="S14:S19">
    <cfRule type="dataBar" priority="80">
      <dataBar>
        <cfvo type="min"/>
        <cfvo type="max"/>
        <color rgb="FFFFB628"/>
      </dataBar>
    </cfRule>
  </conditionalFormatting>
  <conditionalFormatting sqref="S25:S75">
    <cfRule type="dataBar" priority="146">
      <dataBar>
        <cfvo type="min"/>
        <cfvo type="max"/>
        <color rgb="FFFFB628"/>
      </dataBar>
    </cfRule>
  </conditionalFormatting>
  <conditionalFormatting sqref="S81:S83">
    <cfRule type="dataBar" priority="212">
      <dataBar>
        <cfvo type="min"/>
        <cfvo type="max"/>
        <color rgb="FFFFB628"/>
      </dataBar>
    </cfRule>
  </conditionalFormatting>
  <conditionalFormatting sqref="S89:S92">
    <cfRule type="dataBar" priority="278">
      <dataBar>
        <cfvo type="min"/>
        <cfvo type="max"/>
        <color rgb="FFFFB628"/>
      </dataBar>
    </cfRule>
  </conditionalFormatting>
  <conditionalFormatting sqref="S98:S108">
    <cfRule type="dataBar" priority="344">
      <dataBar>
        <cfvo type="min"/>
        <cfvo type="max"/>
        <color rgb="FFFFB628"/>
      </dataBar>
    </cfRule>
  </conditionalFormatting>
  <conditionalFormatting sqref="S114:S120">
    <cfRule type="dataBar" priority="410">
      <dataBar>
        <cfvo type="min"/>
        <cfvo type="max"/>
        <color rgb="FFFFB628"/>
      </dataBar>
    </cfRule>
  </conditionalFormatting>
  <conditionalFormatting sqref="S126:S130">
    <cfRule type="dataBar" priority="476">
      <dataBar>
        <cfvo type="min"/>
        <cfvo type="max"/>
        <color rgb="FFFFB628"/>
      </dataBar>
    </cfRule>
  </conditionalFormatting>
  <conditionalFormatting sqref="S136:S142">
    <cfRule type="dataBar" priority="542">
      <dataBar>
        <cfvo type="min"/>
        <cfvo type="max"/>
        <color rgb="FFFFB628"/>
      </dataBar>
    </cfRule>
  </conditionalFormatting>
  <conditionalFormatting sqref="S148:S154">
    <cfRule type="dataBar" priority="608">
      <dataBar>
        <cfvo type="min"/>
        <cfvo type="max"/>
        <color rgb="FFFFB628"/>
      </dataBar>
    </cfRule>
  </conditionalFormatting>
  <conditionalFormatting sqref="S160:S237">
    <cfRule type="dataBar" priority="674">
      <dataBar>
        <cfvo type="min"/>
        <cfvo type="max"/>
        <color rgb="FFFFB628"/>
      </dataBar>
    </cfRule>
  </conditionalFormatting>
  <conditionalFormatting sqref="S243:S320">
    <cfRule type="dataBar" priority="740">
      <dataBar>
        <cfvo type="min"/>
        <cfvo type="max"/>
        <color rgb="FFFFB628"/>
      </dataBar>
    </cfRule>
  </conditionalFormatting>
  <conditionalFormatting sqref="S326:S329">
    <cfRule type="dataBar" priority="806">
      <dataBar>
        <cfvo type="min"/>
        <cfvo type="max"/>
        <color rgb="FFFFB628"/>
      </dataBar>
    </cfRule>
  </conditionalFormatting>
  <conditionalFormatting sqref="S335:S341">
    <cfRule type="dataBar" priority="872">
      <dataBar>
        <cfvo type="min"/>
        <cfvo type="max"/>
        <color rgb="FFFFB628"/>
      </dataBar>
    </cfRule>
  </conditionalFormatting>
  <conditionalFormatting sqref="S347:S351">
    <cfRule type="dataBar" priority="938">
      <dataBar>
        <cfvo type="min"/>
        <cfvo type="max"/>
        <color rgb="FFFFB628"/>
      </dataBar>
    </cfRule>
  </conditionalFormatting>
  <conditionalFormatting sqref="S357:S360">
    <cfRule type="dataBar" priority="1004">
      <dataBar>
        <cfvo type="min"/>
        <cfvo type="max"/>
        <color rgb="FFFFB628"/>
      </dataBar>
    </cfRule>
  </conditionalFormatting>
  <conditionalFormatting sqref="S366:S372">
    <cfRule type="dataBar" priority="1070">
      <dataBar>
        <cfvo type="min"/>
        <cfvo type="max"/>
        <color rgb="FFFFB628"/>
      </dataBar>
    </cfRule>
  </conditionalFormatting>
  <conditionalFormatting sqref="S378:S382">
    <cfRule type="dataBar" priority="1136">
      <dataBar>
        <cfvo type="min"/>
        <cfvo type="max"/>
        <color rgb="FFFFB628"/>
      </dataBar>
    </cfRule>
  </conditionalFormatting>
  <conditionalFormatting sqref="S388:S391">
    <cfRule type="dataBar" priority="1202">
      <dataBar>
        <cfvo type="min"/>
        <cfvo type="max"/>
        <color rgb="FFFFB628"/>
      </dataBar>
    </cfRule>
  </conditionalFormatting>
  <conditionalFormatting sqref="S397:S403">
    <cfRule type="dataBar" priority="1268">
      <dataBar>
        <cfvo type="min"/>
        <cfvo type="max"/>
        <color rgb="FFFFB628"/>
      </dataBar>
    </cfRule>
  </conditionalFormatting>
  <conditionalFormatting sqref="S409:S413">
    <cfRule type="dataBar" priority="1334">
      <dataBar>
        <cfvo type="min"/>
        <cfvo type="max"/>
        <color rgb="FFFFB628"/>
      </dataBar>
    </cfRule>
  </conditionalFormatting>
  <conditionalFormatting sqref="S419:S422">
    <cfRule type="dataBar" priority="1400">
      <dataBar>
        <cfvo type="min"/>
        <cfvo type="max"/>
        <color rgb="FFFFB628"/>
      </dataBar>
    </cfRule>
  </conditionalFormatting>
  <conditionalFormatting sqref="S428:S434">
    <cfRule type="dataBar" priority="1466">
      <dataBar>
        <cfvo type="min"/>
        <cfvo type="max"/>
        <color rgb="FFFFB628"/>
      </dataBar>
    </cfRule>
  </conditionalFormatting>
  <conditionalFormatting sqref="S440:S444">
    <cfRule type="dataBar" priority="1532">
      <dataBar>
        <cfvo type="min"/>
        <cfvo type="max"/>
        <color rgb="FFFFB628"/>
      </dataBar>
    </cfRule>
  </conditionalFormatting>
  <conditionalFormatting sqref="S450:S453">
    <cfRule type="dataBar" priority="1598">
      <dataBar>
        <cfvo type="min"/>
        <cfvo type="max"/>
        <color rgb="FFFFB628"/>
      </dataBar>
    </cfRule>
  </conditionalFormatting>
  <conditionalFormatting sqref="S459:S465">
    <cfRule type="dataBar" priority="1664">
      <dataBar>
        <cfvo type="min"/>
        <cfvo type="max"/>
        <color rgb="FFFFB628"/>
      </dataBar>
    </cfRule>
  </conditionalFormatting>
  <conditionalFormatting sqref="S471:S475">
    <cfRule type="dataBar" priority="1730">
      <dataBar>
        <cfvo type="min"/>
        <cfvo type="max"/>
        <color rgb="FFFFB628"/>
      </dataBar>
    </cfRule>
  </conditionalFormatting>
  <conditionalFormatting sqref="S481:S483">
    <cfRule type="dataBar" priority="1796">
      <dataBar>
        <cfvo type="min"/>
        <cfvo type="max"/>
        <color rgb="FFFFB628"/>
      </dataBar>
    </cfRule>
  </conditionalFormatting>
  <conditionalFormatting sqref="S489:S600">
    <cfRule type="dataBar" priority="1862">
      <dataBar>
        <cfvo type="min"/>
        <cfvo type="max"/>
        <color rgb="FFFFB628"/>
      </dataBar>
    </cfRule>
  </conditionalFormatting>
  <conditionalFormatting sqref="S606:S613">
    <cfRule type="dataBar" priority="1928">
      <dataBar>
        <cfvo type="min"/>
        <cfvo type="max"/>
        <color rgb="FFFFB628"/>
      </dataBar>
    </cfRule>
  </conditionalFormatting>
  <conditionalFormatting sqref="S619:S626">
    <cfRule type="dataBar" priority="1994">
      <dataBar>
        <cfvo type="min"/>
        <cfvo type="max"/>
        <color rgb="FFFFB628"/>
      </dataBar>
    </cfRule>
  </conditionalFormatting>
  <conditionalFormatting sqref="T6:T8">
    <cfRule type="dataBar" priority="15">
      <dataBar>
        <cfvo type="min"/>
        <cfvo type="max"/>
        <color rgb="FFF08D5B"/>
      </dataBar>
    </cfRule>
  </conditionalFormatting>
  <conditionalFormatting sqref="T14:T19">
    <cfRule type="dataBar" priority="81">
      <dataBar>
        <cfvo type="min"/>
        <cfvo type="max"/>
        <color rgb="FFF08D5B"/>
      </dataBar>
    </cfRule>
  </conditionalFormatting>
  <conditionalFormatting sqref="T25:T75">
    <cfRule type="dataBar" priority="147">
      <dataBar>
        <cfvo type="min"/>
        <cfvo type="max"/>
        <color rgb="FFF08D5B"/>
      </dataBar>
    </cfRule>
  </conditionalFormatting>
  <conditionalFormatting sqref="T81:T83">
    <cfRule type="dataBar" priority="213">
      <dataBar>
        <cfvo type="min"/>
        <cfvo type="max"/>
        <color rgb="FFF08D5B"/>
      </dataBar>
    </cfRule>
  </conditionalFormatting>
  <conditionalFormatting sqref="T89:T92">
    <cfRule type="dataBar" priority="279">
      <dataBar>
        <cfvo type="min"/>
        <cfvo type="max"/>
        <color rgb="FFF08D5B"/>
      </dataBar>
    </cfRule>
  </conditionalFormatting>
  <conditionalFormatting sqref="T98:T108">
    <cfRule type="dataBar" priority="345">
      <dataBar>
        <cfvo type="min"/>
        <cfvo type="max"/>
        <color rgb="FFF08D5B"/>
      </dataBar>
    </cfRule>
  </conditionalFormatting>
  <conditionalFormatting sqref="T114:T120">
    <cfRule type="dataBar" priority="411">
      <dataBar>
        <cfvo type="min"/>
        <cfvo type="max"/>
        <color rgb="FFF08D5B"/>
      </dataBar>
    </cfRule>
  </conditionalFormatting>
  <conditionalFormatting sqref="T126:T130">
    <cfRule type="dataBar" priority="477">
      <dataBar>
        <cfvo type="min"/>
        <cfvo type="max"/>
        <color rgb="FFF08D5B"/>
      </dataBar>
    </cfRule>
  </conditionalFormatting>
  <conditionalFormatting sqref="T136:T142">
    <cfRule type="dataBar" priority="543">
      <dataBar>
        <cfvo type="min"/>
        <cfvo type="max"/>
        <color rgb="FFF08D5B"/>
      </dataBar>
    </cfRule>
  </conditionalFormatting>
  <conditionalFormatting sqref="T148:T154">
    <cfRule type="dataBar" priority="609">
      <dataBar>
        <cfvo type="min"/>
        <cfvo type="max"/>
        <color rgb="FFF08D5B"/>
      </dataBar>
    </cfRule>
  </conditionalFormatting>
  <conditionalFormatting sqref="T160:T237">
    <cfRule type="dataBar" priority="675">
      <dataBar>
        <cfvo type="min"/>
        <cfvo type="max"/>
        <color rgb="FFF08D5B"/>
      </dataBar>
    </cfRule>
  </conditionalFormatting>
  <conditionalFormatting sqref="T243:T320">
    <cfRule type="dataBar" priority="741">
      <dataBar>
        <cfvo type="min"/>
        <cfvo type="max"/>
        <color rgb="FFF08D5B"/>
      </dataBar>
    </cfRule>
  </conditionalFormatting>
  <conditionalFormatting sqref="T326:T329">
    <cfRule type="dataBar" priority="807">
      <dataBar>
        <cfvo type="min"/>
        <cfvo type="max"/>
        <color rgb="FFF08D5B"/>
      </dataBar>
    </cfRule>
  </conditionalFormatting>
  <conditionalFormatting sqref="T335:T341">
    <cfRule type="dataBar" priority="873">
      <dataBar>
        <cfvo type="min"/>
        <cfvo type="max"/>
        <color rgb="FFF08D5B"/>
      </dataBar>
    </cfRule>
  </conditionalFormatting>
  <conditionalFormatting sqref="T347:T351">
    <cfRule type="dataBar" priority="939">
      <dataBar>
        <cfvo type="min"/>
        <cfvo type="max"/>
        <color rgb="FFF08D5B"/>
      </dataBar>
    </cfRule>
  </conditionalFormatting>
  <conditionalFormatting sqref="T357:T360">
    <cfRule type="dataBar" priority="1005">
      <dataBar>
        <cfvo type="min"/>
        <cfvo type="max"/>
        <color rgb="FFF08D5B"/>
      </dataBar>
    </cfRule>
  </conditionalFormatting>
  <conditionalFormatting sqref="T366:T372">
    <cfRule type="dataBar" priority="1071">
      <dataBar>
        <cfvo type="min"/>
        <cfvo type="max"/>
        <color rgb="FFF08D5B"/>
      </dataBar>
    </cfRule>
  </conditionalFormatting>
  <conditionalFormatting sqref="T378:T382">
    <cfRule type="dataBar" priority="1137">
      <dataBar>
        <cfvo type="min"/>
        <cfvo type="max"/>
        <color rgb="FFF08D5B"/>
      </dataBar>
    </cfRule>
  </conditionalFormatting>
  <conditionalFormatting sqref="T388:T391">
    <cfRule type="dataBar" priority="1203">
      <dataBar>
        <cfvo type="min"/>
        <cfvo type="max"/>
        <color rgb="FFF08D5B"/>
      </dataBar>
    </cfRule>
  </conditionalFormatting>
  <conditionalFormatting sqref="T397:T403">
    <cfRule type="dataBar" priority="1269">
      <dataBar>
        <cfvo type="min"/>
        <cfvo type="max"/>
        <color rgb="FFF08D5B"/>
      </dataBar>
    </cfRule>
  </conditionalFormatting>
  <conditionalFormatting sqref="T409:T413">
    <cfRule type="dataBar" priority="1335">
      <dataBar>
        <cfvo type="min"/>
        <cfvo type="max"/>
        <color rgb="FFF08D5B"/>
      </dataBar>
    </cfRule>
  </conditionalFormatting>
  <conditionalFormatting sqref="T419:T422">
    <cfRule type="dataBar" priority="1401">
      <dataBar>
        <cfvo type="min"/>
        <cfvo type="max"/>
        <color rgb="FFF08D5B"/>
      </dataBar>
    </cfRule>
  </conditionalFormatting>
  <conditionalFormatting sqref="T428:T434">
    <cfRule type="dataBar" priority="1467">
      <dataBar>
        <cfvo type="min"/>
        <cfvo type="max"/>
        <color rgb="FFF08D5B"/>
      </dataBar>
    </cfRule>
  </conditionalFormatting>
  <conditionalFormatting sqref="T440:T444">
    <cfRule type="dataBar" priority="1533">
      <dataBar>
        <cfvo type="min"/>
        <cfvo type="max"/>
        <color rgb="FFF08D5B"/>
      </dataBar>
    </cfRule>
  </conditionalFormatting>
  <conditionalFormatting sqref="T450:T453">
    <cfRule type="dataBar" priority="1599">
      <dataBar>
        <cfvo type="min"/>
        <cfvo type="max"/>
        <color rgb="FFF08D5B"/>
      </dataBar>
    </cfRule>
  </conditionalFormatting>
  <conditionalFormatting sqref="T459:T465">
    <cfRule type="dataBar" priority="1665">
      <dataBar>
        <cfvo type="min"/>
        <cfvo type="max"/>
        <color rgb="FFF08D5B"/>
      </dataBar>
    </cfRule>
  </conditionalFormatting>
  <conditionalFormatting sqref="T471:T475">
    <cfRule type="dataBar" priority="1731">
      <dataBar>
        <cfvo type="min"/>
        <cfvo type="max"/>
        <color rgb="FFF08D5B"/>
      </dataBar>
    </cfRule>
  </conditionalFormatting>
  <conditionalFormatting sqref="T481:T483">
    <cfRule type="dataBar" priority="1797">
      <dataBar>
        <cfvo type="min"/>
        <cfvo type="max"/>
        <color rgb="FFF08D5B"/>
      </dataBar>
    </cfRule>
  </conditionalFormatting>
  <conditionalFormatting sqref="T489:T600">
    <cfRule type="dataBar" priority="1863">
      <dataBar>
        <cfvo type="min"/>
        <cfvo type="max"/>
        <color rgb="FFF08D5B"/>
      </dataBar>
    </cfRule>
  </conditionalFormatting>
  <conditionalFormatting sqref="T606:T613">
    <cfRule type="dataBar" priority="1929">
      <dataBar>
        <cfvo type="min"/>
        <cfvo type="max"/>
        <color rgb="FFF08D5B"/>
      </dataBar>
    </cfRule>
  </conditionalFormatting>
  <conditionalFormatting sqref="T619:T626">
    <cfRule type="dataBar" priority="1995">
      <dataBar>
        <cfvo type="min"/>
        <cfvo type="max"/>
        <color rgb="FFF08D5B"/>
      </dataBar>
    </cfRule>
  </conditionalFormatting>
  <conditionalFormatting sqref="V6:V8">
    <cfRule type="dataBar" priority="16">
      <dataBar>
        <cfvo type="min"/>
        <cfvo type="max"/>
        <color rgb="FF628DC4"/>
      </dataBar>
    </cfRule>
  </conditionalFormatting>
  <conditionalFormatting sqref="V14:V19">
    <cfRule type="dataBar" priority="82">
      <dataBar>
        <cfvo type="min"/>
        <cfvo type="max"/>
        <color rgb="FF628DC4"/>
      </dataBar>
    </cfRule>
  </conditionalFormatting>
  <conditionalFormatting sqref="V25:V75">
    <cfRule type="dataBar" priority="148">
      <dataBar>
        <cfvo type="min"/>
        <cfvo type="max"/>
        <color rgb="FF628DC4"/>
      </dataBar>
    </cfRule>
  </conditionalFormatting>
  <conditionalFormatting sqref="V81:V83">
    <cfRule type="dataBar" priority="214">
      <dataBar>
        <cfvo type="min"/>
        <cfvo type="max"/>
        <color rgb="FF628DC4"/>
      </dataBar>
    </cfRule>
  </conditionalFormatting>
  <conditionalFormatting sqref="V89:V92">
    <cfRule type="dataBar" priority="280">
      <dataBar>
        <cfvo type="min"/>
        <cfvo type="max"/>
        <color rgb="FF628DC4"/>
      </dataBar>
    </cfRule>
  </conditionalFormatting>
  <conditionalFormatting sqref="V98:V108">
    <cfRule type="dataBar" priority="346">
      <dataBar>
        <cfvo type="min"/>
        <cfvo type="max"/>
        <color rgb="FF628DC4"/>
      </dataBar>
    </cfRule>
  </conditionalFormatting>
  <conditionalFormatting sqref="V114:V120">
    <cfRule type="dataBar" priority="412">
      <dataBar>
        <cfvo type="min"/>
        <cfvo type="max"/>
        <color rgb="FF628DC4"/>
      </dataBar>
    </cfRule>
  </conditionalFormatting>
  <conditionalFormatting sqref="V126:V130">
    <cfRule type="dataBar" priority="478">
      <dataBar>
        <cfvo type="min"/>
        <cfvo type="max"/>
        <color rgb="FF628DC4"/>
      </dataBar>
    </cfRule>
  </conditionalFormatting>
  <conditionalFormatting sqref="V136:V142">
    <cfRule type="dataBar" priority="544">
      <dataBar>
        <cfvo type="min"/>
        <cfvo type="max"/>
        <color rgb="FF628DC4"/>
      </dataBar>
    </cfRule>
  </conditionalFormatting>
  <conditionalFormatting sqref="V148:V154">
    <cfRule type="dataBar" priority="610">
      <dataBar>
        <cfvo type="min"/>
        <cfvo type="max"/>
        <color rgb="FF628DC4"/>
      </dataBar>
    </cfRule>
  </conditionalFormatting>
  <conditionalFormatting sqref="V160:V237">
    <cfRule type="dataBar" priority="676">
      <dataBar>
        <cfvo type="min"/>
        <cfvo type="max"/>
        <color rgb="FF628DC4"/>
      </dataBar>
    </cfRule>
  </conditionalFormatting>
  <conditionalFormatting sqref="V243:V320">
    <cfRule type="dataBar" priority="742">
      <dataBar>
        <cfvo type="min"/>
        <cfvo type="max"/>
        <color rgb="FF628DC4"/>
      </dataBar>
    </cfRule>
  </conditionalFormatting>
  <conditionalFormatting sqref="V326:V329">
    <cfRule type="dataBar" priority="808">
      <dataBar>
        <cfvo type="min"/>
        <cfvo type="max"/>
        <color rgb="FF628DC4"/>
      </dataBar>
    </cfRule>
  </conditionalFormatting>
  <conditionalFormatting sqref="V335:V341">
    <cfRule type="dataBar" priority="874">
      <dataBar>
        <cfvo type="min"/>
        <cfvo type="max"/>
        <color rgb="FF628DC4"/>
      </dataBar>
    </cfRule>
  </conditionalFormatting>
  <conditionalFormatting sqref="V347:V351">
    <cfRule type="dataBar" priority="940">
      <dataBar>
        <cfvo type="min"/>
        <cfvo type="max"/>
        <color rgb="FF628DC4"/>
      </dataBar>
    </cfRule>
  </conditionalFormatting>
  <conditionalFormatting sqref="V357:V360">
    <cfRule type="dataBar" priority="1006">
      <dataBar>
        <cfvo type="min"/>
        <cfvo type="max"/>
        <color rgb="FF628DC4"/>
      </dataBar>
    </cfRule>
  </conditionalFormatting>
  <conditionalFormatting sqref="V366:V372">
    <cfRule type="dataBar" priority="1072">
      <dataBar>
        <cfvo type="min"/>
        <cfvo type="max"/>
        <color rgb="FF628DC4"/>
      </dataBar>
    </cfRule>
  </conditionalFormatting>
  <conditionalFormatting sqref="V378:V382">
    <cfRule type="dataBar" priority="1138">
      <dataBar>
        <cfvo type="min"/>
        <cfvo type="max"/>
        <color rgb="FF628DC4"/>
      </dataBar>
    </cfRule>
  </conditionalFormatting>
  <conditionalFormatting sqref="V388:V391">
    <cfRule type="dataBar" priority="1204">
      <dataBar>
        <cfvo type="min"/>
        <cfvo type="max"/>
        <color rgb="FF628DC4"/>
      </dataBar>
    </cfRule>
  </conditionalFormatting>
  <conditionalFormatting sqref="V397:V403">
    <cfRule type="dataBar" priority="1270">
      <dataBar>
        <cfvo type="min"/>
        <cfvo type="max"/>
        <color rgb="FF628DC4"/>
      </dataBar>
    </cfRule>
  </conditionalFormatting>
  <conditionalFormatting sqref="V409:V413">
    <cfRule type="dataBar" priority="1336">
      <dataBar>
        <cfvo type="min"/>
        <cfvo type="max"/>
        <color rgb="FF628DC4"/>
      </dataBar>
    </cfRule>
  </conditionalFormatting>
  <conditionalFormatting sqref="V419:V422">
    <cfRule type="dataBar" priority="1402">
      <dataBar>
        <cfvo type="min"/>
        <cfvo type="max"/>
        <color rgb="FF628DC4"/>
      </dataBar>
    </cfRule>
  </conditionalFormatting>
  <conditionalFormatting sqref="V428:V434">
    <cfRule type="dataBar" priority="1468">
      <dataBar>
        <cfvo type="min"/>
        <cfvo type="max"/>
        <color rgb="FF628DC4"/>
      </dataBar>
    </cfRule>
  </conditionalFormatting>
  <conditionalFormatting sqref="V440:V444">
    <cfRule type="dataBar" priority="1534">
      <dataBar>
        <cfvo type="min"/>
        <cfvo type="max"/>
        <color rgb="FF628DC4"/>
      </dataBar>
    </cfRule>
  </conditionalFormatting>
  <conditionalFormatting sqref="V450:V453">
    <cfRule type="dataBar" priority="1600">
      <dataBar>
        <cfvo type="min"/>
        <cfvo type="max"/>
        <color rgb="FF628DC4"/>
      </dataBar>
    </cfRule>
  </conditionalFormatting>
  <conditionalFormatting sqref="V459:V465">
    <cfRule type="dataBar" priority="1666">
      <dataBar>
        <cfvo type="min"/>
        <cfvo type="max"/>
        <color rgb="FF628DC4"/>
      </dataBar>
    </cfRule>
  </conditionalFormatting>
  <conditionalFormatting sqref="V471:V475">
    <cfRule type="dataBar" priority="1732">
      <dataBar>
        <cfvo type="min"/>
        <cfvo type="max"/>
        <color rgb="FF628DC4"/>
      </dataBar>
    </cfRule>
  </conditionalFormatting>
  <conditionalFormatting sqref="V481:V483">
    <cfRule type="dataBar" priority="1798">
      <dataBar>
        <cfvo type="min"/>
        <cfvo type="max"/>
        <color rgb="FF628DC4"/>
      </dataBar>
    </cfRule>
  </conditionalFormatting>
  <conditionalFormatting sqref="V489:V600">
    <cfRule type="dataBar" priority="1864">
      <dataBar>
        <cfvo type="min"/>
        <cfvo type="max"/>
        <color rgb="FF628DC4"/>
      </dataBar>
    </cfRule>
  </conditionalFormatting>
  <conditionalFormatting sqref="V606:V613">
    <cfRule type="dataBar" priority="1930">
      <dataBar>
        <cfvo type="min"/>
        <cfvo type="max"/>
        <color rgb="FF628DC4"/>
      </dataBar>
    </cfRule>
  </conditionalFormatting>
  <conditionalFormatting sqref="V619:V626">
    <cfRule type="dataBar" priority="1996">
      <dataBar>
        <cfvo type="min"/>
        <cfvo type="max"/>
        <color rgb="FF628DC4"/>
      </dataBar>
    </cfRule>
  </conditionalFormatting>
  <conditionalFormatting sqref="W6:W8">
    <cfRule type="dataBar" priority="17">
      <dataBar>
        <cfvo type="min"/>
        <cfvo type="max"/>
        <color rgb="FFFFB628"/>
      </dataBar>
    </cfRule>
  </conditionalFormatting>
  <conditionalFormatting sqref="W14:W19">
    <cfRule type="dataBar" priority="83">
      <dataBar>
        <cfvo type="min"/>
        <cfvo type="max"/>
        <color rgb="FFFFB628"/>
      </dataBar>
    </cfRule>
  </conditionalFormatting>
  <conditionalFormatting sqref="W25:W75">
    <cfRule type="dataBar" priority="149">
      <dataBar>
        <cfvo type="min"/>
        <cfvo type="max"/>
        <color rgb="FFFFB628"/>
      </dataBar>
    </cfRule>
  </conditionalFormatting>
  <conditionalFormatting sqref="W81:W83">
    <cfRule type="dataBar" priority="215">
      <dataBar>
        <cfvo type="min"/>
        <cfvo type="max"/>
        <color rgb="FFFFB628"/>
      </dataBar>
    </cfRule>
  </conditionalFormatting>
  <conditionalFormatting sqref="W89:W92">
    <cfRule type="dataBar" priority="281">
      <dataBar>
        <cfvo type="min"/>
        <cfvo type="max"/>
        <color rgb="FFFFB628"/>
      </dataBar>
    </cfRule>
  </conditionalFormatting>
  <conditionalFormatting sqref="W98:W108">
    <cfRule type="dataBar" priority="347">
      <dataBar>
        <cfvo type="min"/>
        <cfvo type="max"/>
        <color rgb="FFFFB628"/>
      </dataBar>
    </cfRule>
  </conditionalFormatting>
  <conditionalFormatting sqref="W114:W120">
    <cfRule type="dataBar" priority="413">
      <dataBar>
        <cfvo type="min"/>
        <cfvo type="max"/>
        <color rgb="FFFFB628"/>
      </dataBar>
    </cfRule>
  </conditionalFormatting>
  <conditionalFormatting sqref="W126:W130">
    <cfRule type="dataBar" priority="479">
      <dataBar>
        <cfvo type="min"/>
        <cfvo type="max"/>
        <color rgb="FFFFB628"/>
      </dataBar>
    </cfRule>
  </conditionalFormatting>
  <conditionalFormatting sqref="W136:W142">
    <cfRule type="dataBar" priority="545">
      <dataBar>
        <cfvo type="min"/>
        <cfvo type="max"/>
        <color rgb="FFFFB628"/>
      </dataBar>
    </cfRule>
  </conditionalFormatting>
  <conditionalFormatting sqref="W148:W154">
    <cfRule type="dataBar" priority="611">
      <dataBar>
        <cfvo type="min"/>
        <cfvo type="max"/>
        <color rgb="FFFFB628"/>
      </dataBar>
    </cfRule>
  </conditionalFormatting>
  <conditionalFormatting sqref="W160:W237">
    <cfRule type="dataBar" priority="677">
      <dataBar>
        <cfvo type="min"/>
        <cfvo type="max"/>
        <color rgb="FFFFB628"/>
      </dataBar>
    </cfRule>
  </conditionalFormatting>
  <conditionalFormatting sqref="W243:W320">
    <cfRule type="dataBar" priority="743">
      <dataBar>
        <cfvo type="min"/>
        <cfvo type="max"/>
        <color rgb="FFFFB628"/>
      </dataBar>
    </cfRule>
  </conditionalFormatting>
  <conditionalFormatting sqref="W326:W329">
    <cfRule type="dataBar" priority="809">
      <dataBar>
        <cfvo type="min"/>
        <cfvo type="max"/>
        <color rgb="FFFFB628"/>
      </dataBar>
    </cfRule>
  </conditionalFormatting>
  <conditionalFormatting sqref="W335:W341">
    <cfRule type="dataBar" priority="875">
      <dataBar>
        <cfvo type="min"/>
        <cfvo type="max"/>
        <color rgb="FFFFB628"/>
      </dataBar>
    </cfRule>
  </conditionalFormatting>
  <conditionalFormatting sqref="W347:W351">
    <cfRule type="dataBar" priority="941">
      <dataBar>
        <cfvo type="min"/>
        <cfvo type="max"/>
        <color rgb="FFFFB628"/>
      </dataBar>
    </cfRule>
  </conditionalFormatting>
  <conditionalFormatting sqref="W357:W360">
    <cfRule type="dataBar" priority="1007">
      <dataBar>
        <cfvo type="min"/>
        <cfvo type="max"/>
        <color rgb="FFFFB628"/>
      </dataBar>
    </cfRule>
  </conditionalFormatting>
  <conditionalFormatting sqref="W366:W372">
    <cfRule type="dataBar" priority="1073">
      <dataBar>
        <cfvo type="min"/>
        <cfvo type="max"/>
        <color rgb="FFFFB628"/>
      </dataBar>
    </cfRule>
  </conditionalFormatting>
  <conditionalFormatting sqref="W378:W382">
    <cfRule type="dataBar" priority="1139">
      <dataBar>
        <cfvo type="min"/>
        <cfvo type="max"/>
        <color rgb="FFFFB628"/>
      </dataBar>
    </cfRule>
  </conditionalFormatting>
  <conditionalFormatting sqref="W388:W391">
    <cfRule type="dataBar" priority="1205">
      <dataBar>
        <cfvo type="min"/>
        <cfvo type="max"/>
        <color rgb="FFFFB628"/>
      </dataBar>
    </cfRule>
  </conditionalFormatting>
  <conditionalFormatting sqref="W397:W403">
    <cfRule type="dataBar" priority="1271">
      <dataBar>
        <cfvo type="min"/>
        <cfvo type="max"/>
        <color rgb="FFFFB628"/>
      </dataBar>
    </cfRule>
  </conditionalFormatting>
  <conditionalFormatting sqref="W409:W413">
    <cfRule type="dataBar" priority="1337">
      <dataBar>
        <cfvo type="min"/>
        <cfvo type="max"/>
        <color rgb="FFFFB628"/>
      </dataBar>
    </cfRule>
  </conditionalFormatting>
  <conditionalFormatting sqref="W419:W422">
    <cfRule type="dataBar" priority="1403">
      <dataBar>
        <cfvo type="min"/>
        <cfvo type="max"/>
        <color rgb="FFFFB628"/>
      </dataBar>
    </cfRule>
  </conditionalFormatting>
  <conditionalFormatting sqref="W428:W434">
    <cfRule type="dataBar" priority="1469">
      <dataBar>
        <cfvo type="min"/>
        <cfvo type="max"/>
        <color rgb="FFFFB628"/>
      </dataBar>
    </cfRule>
  </conditionalFormatting>
  <conditionalFormatting sqref="W440:W444">
    <cfRule type="dataBar" priority="1535">
      <dataBar>
        <cfvo type="min"/>
        <cfvo type="max"/>
        <color rgb="FFFFB628"/>
      </dataBar>
    </cfRule>
  </conditionalFormatting>
  <conditionalFormatting sqref="W450:W453">
    <cfRule type="dataBar" priority="1601">
      <dataBar>
        <cfvo type="min"/>
        <cfvo type="max"/>
        <color rgb="FFFFB628"/>
      </dataBar>
    </cfRule>
  </conditionalFormatting>
  <conditionalFormatting sqref="W459:W465">
    <cfRule type="dataBar" priority="1667">
      <dataBar>
        <cfvo type="min"/>
        <cfvo type="max"/>
        <color rgb="FFFFB628"/>
      </dataBar>
    </cfRule>
  </conditionalFormatting>
  <conditionalFormatting sqref="W471:W475">
    <cfRule type="dataBar" priority="1733">
      <dataBar>
        <cfvo type="min"/>
        <cfvo type="max"/>
        <color rgb="FFFFB628"/>
      </dataBar>
    </cfRule>
  </conditionalFormatting>
  <conditionalFormatting sqref="W481:W483">
    <cfRule type="dataBar" priority="1799">
      <dataBar>
        <cfvo type="min"/>
        <cfvo type="max"/>
        <color rgb="FFFFB628"/>
      </dataBar>
    </cfRule>
  </conditionalFormatting>
  <conditionalFormatting sqref="W489:W600">
    <cfRule type="dataBar" priority="1865">
      <dataBar>
        <cfvo type="min"/>
        <cfvo type="max"/>
        <color rgb="FFFFB628"/>
      </dataBar>
    </cfRule>
  </conditionalFormatting>
  <conditionalFormatting sqref="W606:W613">
    <cfRule type="dataBar" priority="1931">
      <dataBar>
        <cfvo type="min"/>
        <cfvo type="max"/>
        <color rgb="FFFFB628"/>
      </dataBar>
    </cfRule>
  </conditionalFormatting>
  <conditionalFormatting sqref="W619:W626">
    <cfRule type="dataBar" priority="1997">
      <dataBar>
        <cfvo type="min"/>
        <cfvo type="max"/>
        <color rgb="FFFFB628"/>
      </dataBar>
    </cfRule>
  </conditionalFormatting>
  <conditionalFormatting sqref="X6:X8">
    <cfRule type="dataBar" priority="18">
      <dataBar>
        <cfvo type="min"/>
        <cfvo type="max"/>
        <color rgb="FFF08D5B"/>
      </dataBar>
    </cfRule>
  </conditionalFormatting>
  <conditionalFormatting sqref="X14:X19">
    <cfRule type="dataBar" priority="84">
      <dataBar>
        <cfvo type="min"/>
        <cfvo type="max"/>
        <color rgb="FFF08D5B"/>
      </dataBar>
    </cfRule>
  </conditionalFormatting>
  <conditionalFormatting sqref="X25:X75">
    <cfRule type="dataBar" priority="150">
      <dataBar>
        <cfvo type="min"/>
        <cfvo type="max"/>
        <color rgb="FFF08D5B"/>
      </dataBar>
    </cfRule>
  </conditionalFormatting>
  <conditionalFormatting sqref="X81:X83">
    <cfRule type="dataBar" priority="216">
      <dataBar>
        <cfvo type="min"/>
        <cfvo type="max"/>
        <color rgb="FFF08D5B"/>
      </dataBar>
    </cfRule>
  </conditionalFormatting>
  <conditionalFormatting sqref="X89:X92">
    <cfRule type="dataBar" priority="282">
      <dataBar>
        <cfvo type="min"/>
        <cfvo type="max"/>
        <color rgb="FFF08D5B"/>
      </dataBar>
    </cfRule>
  </conditionalFormatting>
  <conditionalFormatting sqref="X98:X108">
    <cfRule type="dataBar" priority="348">
      <dataBar>
        <cfvo type="min"/>
        <cfvo type="max"/>
        <color rgb="FFF08D5B"/>
      </dataBar>
    </cfRule>
  </conditionalFormatting>
  <conditionalFormatting sqref="X114:X120">
    <cfRule type="dataBar" priority="414">
      <dataBar>
        <cfvo type="min"/>
        <cfvo type="max"/>
        <color rgb="FFF08D5B"/>
      </dataBar>
    </cfRule>
  </conditionalFormatting>
  <conditionalFormatting sqref="X126:X130">
    <cfRule type="dataBar" priority="480">
      <dataBar>
        <cfvo type="min"/>
        <cfvo type="max"/>
        <color rgb="FFF08D5B"/>
      </dataBar>
    </cfRule>
  </conditionalFormatting>
  <conditionalFormatting sqref="X136:X142">
    <cfRule type="dataBar" priority="546">
      <dataBar>
        <cfvo type="min"/>
        <cfvo type="max"/>
        <color rgb="FFF08D5B"/>
      </dataBar>
    </cfRule>
  </conditionalFormatting>
  <conditionalFormatting sqref="X148:X154">
    <cfRule type="dataBar" priority="612">
      <dataBar>
        <cfvo type="min"/>
        <cfvo type="max"/>
        <color rgb="FFF08D5B"/>
      </dataBar>
    </cfRule>
  </conditionalFormatting>
  <conditionalFormatting sqref="X160:X237">
    <cfRule type="dataBar" priority="678">
      <dataBar>
        <cfvo type="min"/>
        <cfvo type="max"/>
        <color rgb="FFF08D5B"/>
      </dataBar>
    </cfRule>
  </conditionalFormatting>
  <conditionalFormatting sqref="X243:X320">
    <cfRule type="dataBar" priority="744">
      <dataBar>
        <cfvo type="min"/>
        <cfvo type="max"/>
        <color rgb="FFF08D5B"/>
      </dataBar>
    </cfRule>
  </conditionalFormatting>
  <conditionalFormatting sqref="X326:X329">
    <cfRule type="dataBar" priority="810">
      <dataBar>
        <cfvo type="min"/>
        <cfvo type="max"/>
        <color rgb="FFF08D5B"/>
      </dataBar>
    </cfRule>
  </conditionalFormatting>
  <conditionalFormatting sqref="X335:X341">
    <cfRule type="dataBar" priority="876">
      <dataBar>
        <cfvo type="min"/>
        <cfvo type="max"/>
        <color rgb="FFF08D5B"/>
      </dataBar>
    </cfRule>
  </conditionalFormatting>
  <conditionalFormatting sqref="X347:X351">
    <cfRule type="dataBar" priority="942">
      <dataBar>
        <cfvo type="min"/>
        <cfvo type="max"/>
        <color rgb="FFF08D5B"/>
      </dataBar>
    </cfRule>
  </conditionalFormatting>
  <conditionalFormatting sqref="X357:X360">
    <cfRule type="dataBar" priority="1008">
      <dataBar>
        <cfvo type="min"/>
        <cfvo type="max"/>
        <color rgb="FFF08D5B"/>
      </dataBar>
    </cfRule>
  </conditionalFormatting>
  <conditionalFormatting sqref="X366:X372">
    <cfRule type="dataBar" priority="1074">
      <dataBar>
        <cfvo type="min"/>
        <cfvo type="max"/>
        <color rgb="FFF08D5B"/>
      </dataBar>
    </cfRule>
  </conditionalFormatting>
  <conditionalFormatting sqref="X378:X382">
    <cfRule type="dataBar" priority="1140">
      <dataBar>
        <cfvo type="min"/>
        <cfvo type="max"/>
        <color rgb="FFF08D5B"/>
      </dataBar>
    </cfRule>
  </conditionalFormatting>
  <conditionalFormatting sqref="X388:X391">
    <cfRule type="dataBar" priority="1206">
      <dataBar>
        <cfvo type="min"/>
        <cfvo type="max"/>
        <color rgb="FFF08D5B"/>
      </dataBar>
    </cfRule>
  </conditionalFormatting>
  <conditionalFormatting sqref="X397:X403">
    <cfRule type="dataBar" priority="1272">
      <dataBar>
        <cfvo type="min"/>
        <cfvo type="max"/>
        <color rgb="FFF08D5B"/>
      </dataBar>
    </cfRule>
  </conditionalFormatting>
  <conditionalFormatting sqref="X409:X413">
    <cfRule type="dataBar" priority="1338">
      <dataBar>
        <cfvo type="min"/>
        <cfvo type="max"/>
        <color rgb="FFF08D5B"/>
      </dataBar>
    </cfRule>
  </conditionalFormatting>
  <conditionalFormatting sqref="X419:X422">
    <cfRule type="dataBar" priority="1404">
      <dataBar>
        <cfvo type="min"/>
        <cfvo type="max"/>
        <color rgb="FFF08D5B"/>
      </dataBar>
    </cfRule>
  </conditionalFormatting>
  <conditionalFormatting sqref="X428:X434">
    <cfRule type="dataBar" priority="1470">
      <dataBar>
        <cfvo type="min"/>
        <cfvo type="max"/>
        <color rgb="FFF08D5B"/>
      </dataBar>
    </cfRule>
  </conditionalFormatting>
  <conditionalFormatting sqref="X440:X444">
    <cfRule type="dataBar" priority="1536">
      <dataBar>
        <cfvo type="min"/>
        <cfvo type="max"/>
        <color rgb="FFF08D5B"/>
      </dataBar>
    </cfRule>
  </conditionalFormatting>
  <conditionalFormatting sqref="X450:X453">
    <cfRule type="dataBar" priority="1602">
      <dataBar>
        <cfvo type="min"/>
        <cfvo type="max"/>
        <color rgb="FFF08D5B"/>
      </dataBar>
    </cfRule>
  </conditionalFormatting>
  <conditionalFormatting sqref="X459:X465">
    <cfRule type="dataBar" priority="1668">
      <dataBar>
        <cfvo type="min"/>
        <cfvo type="max"/>
        <color rgb="FFF08D5B"/>
      </dataBar>
    </cfRule>
  </conditionalFormatting>
  <conditionalFormatting sqref="X471:X475">
    <cfRule type="dataBar" priority="1734">
      <dataBar>
        <cfvo type="min"/>
        <cfvo type="max"/>
        <color rgb="FFF08D5B"/>
      </dataBar>
    </cfRule>
  </conditionalFormatting>
  <conditionalFormatting sqref="X481:X483">
    <cfRule type="dataBar" priority="1800">
      <dataBar>
        <cfvo type="min"/>
        <cfvo type="max"/>
        <color rgb="FFF08D5B"/>
      </dataBar>
    </cfRule>
  </conditionalFormatting>
  <conditionalFormatting sqref="X489:X600">
    <cfRule type="dataBar" priority="1866">
      <dataBar>
        <cfvo type="min"/>
        <cfvo type="max"/>
        <color rgb="FFF08D5B"/>
      </dataBar>
    </cfRule>
  </conditionalFormatting>
  <conditionalFormatting sqref="X606:X613">
    <cfRule type="dataBar" priority="1932">
      <dataBar>
        <cfvo type="min"/>
        <cfvo type="max"/>
        <color rgb="FFF08D5B"/>
      </dataBar>
    </cfRule>
  </conditionalFormatting>
  <conditionalFormatting sqref="X619:X626">
    <cfRule type="dataBar" priority="1998">
      <dataBar>
        <cfvo type="min"/>
        <cfvo type="max"/>
        <color rgb="FFF08D5B"/>
      </dataBar>
    </cfRule>
  </conditionalFormatting>
  <conditionalFormatting sqref="Z6:Z8">
    <cfRule type="dataBar" priority="19">
      <dataBar>
        <cfvo type="min"/>
        <cfvo type="max"/>
        <color rgb="FF628DC4"/>
      </dataBar>
    </cfRule>
  </conditionalFormatting>
  <conditionalFormatting sqref="Z14:Z19">
    <cfRule type="dataBar" priority="85">
      <dataBar>
        <cfvo type="min"/>
        <cfvo type="max"/>
        <color rgb="FF628DC4"/>
      </dataBar>
    </cfRule>
  </conditionalFormatting>
  <conditionalFormatting sqref="Z25:Z75">
    <cfRule type="dataBar" priority="151">
      <dataBar>
        <cfvo type="min"/>
        <cfvo type="max"/>
        <color rgb="FF628DC4"/>
      </dataBar>
    </cfRule>
  </conditionalFormatting>
  <conditionalFormatting sqref="Z81:Z83">
    <cfRule type="dataBar" priority="217">
      <dataBar>
        <cfvo type="min"/>
        <cfvo type="max"/>
        <color rgb="FF628DC4"/>
      </dataBar>
    </cfRule>
  </conditionalFormatting>
  <conditionalFormatting sqref="Z89:Z92">
    <cfRule type="dataBar" priority="283">
      <dataBar>
        <cfvo type="min"/>
        <cfvo type="max"/>
        <color rgb="FF628DC4"/>
      </dataBar>
    </cfRule>
  </conditionalFormatting>
  <conditionalFormatting sqref="Z98:Z108">
    <cfRule type="dataBar" priority="349">
      <dataBar>
        <cfvo type="min"/>
        <cfvo type="max"/>
        <color rgb="FF628DC4"/>
      </dataBar>
    </cfRule>
  </conditionalFormatting>
  <conditionalFormatting sqref="Z114:Z120">
    <cfRule type="dataBar" priority="415">
      <dataBar>
        <cfvo type="min"/>
        <cfvo type="max"/>
        <color rgb="FF628DC4"/>
      </dataBar>
    </cfRule>
  </conditionalFormatting>
  <conditionalFormatting sqref="Z126:Z130">
    <cfRule type="dataBar" priority="481">
      <dataBar>
        <cfvo type="min"/>
        <cfvo type="max"/>
        <color rgb="FF628DC4"/>
      </dataBar>
    </cfRule>
  </conditionalFormatting>
  <conditionalFormatting sqref="Z136:Z142">
    <cfRule type="dataBar" priority="547">
      <dataBar>
        <cfvo type="min"/>
        <cfvo type="max"/>
        <color rgb="FF628DC4"/>
      </dataBar>
    </cfRule>
  </conditionalFormatting>
  <conditionalFormatting sqref="Z148:Z154">
    <cfRule type="dataBar" priority="613">
      <dataBar>
        <cfvo type="min"/>
        <cfvo type="max"/>
        <color rgb="FF628DC4"/>
      </dataBar>
    </cfRule>
  </conditionalFormatting>
  <conditionalFormatting sqref="Z160:Z237">
    <cfRule type="dataBar" priority="679">
      <dataBar>
        <cfvo type="min"/>
        <cfvo type="max"/>
        <color rgb="FF628DC4"/>
      </dataBar>
    </cfRule>
  </conditionalFormatting>
  <conditionalFormatting sqref="Z243:Z320">
    <cfRule type="dataBar" priority="745">
      <dataBar>
        <cfvo type="min"/>
        <cfvo type="max"/>
        <color rgb="FF628DC4"/>
      </dataBar>
    </cfRule>
  </conditionalFormatting>
  <conditionalFormatting sqref="Z326:Z329">
    <cfRule type="dataBar" priority="811">
      <dataBar>
        <cfvo type="min"/>
        <cfvo type="max"/>
        <color rgb="FF628DC4"/>
      </dataBar>
    </cfRule>
  </conditionalFormatting>
  <conditionalFormatting sqref="Z335:Z341">
    <cfRule type="dataBar" priority="877">
      <dataBar>
        <cfvo type="min"/>
        <cfvo type="max"/>
        <color rgb="FF628DC4"/>
      </dataBar>
    </cfRule>
  </conditionalFormatting>
  <conditionalFormatting sqref="Z347:Z351">
    <cfRule type="dataBar" priority="943">
      <dataBar>
        <cfvo type="min"/>
        <cfvo type="max"/>
        <color rgb="FF628DC4"/>
      </dataBar>
    </cfRule>
  </conditionalFormatting>
  <conditionalFormatting sqref="Z357:Z360">
    <cfRule type="dataBar" priority="1009">
      <dataBar>
        <cfvo type="min"/>
        <cfvo type="max"/>
        <color rgb="FF628DC4"/>
      </dataBar>
    </cfRule>
  </conditionalFormatting>
  <conditionalFormatting sqref="Z366:Z372">
    <cfRule type="dataBar" priority="1075">
      <dataBar>
        <cfvo type="min"/>
        <cfvo type="max"/>
        <color rgb="FF628DC4"/>
      </dataBar>
    </cfRule>
  </conditionalFormatting>
  <conditionalFormatting sqref="Z378:Z382">
    <cfRule type="dataBar" priority="1141">
      <dataBar>
        <cfvo type="min"/>
        <cfvo type="max"/>
        <color rgb="FF628DC4"/>
      </dataBar>
    </cfRule>
  </conditionalFormatting>
  <conditionalFormatting sqref="Z388:Z391">
    <cfRule type="dataBar" priority="1207">
      <dataBar>
        <cfvo type="min"/>
        <cfvo type="max"/>
        <color rgb="FF628DC4"/>
      </dataBar>
    </cfRule>
  </conditionalFormatting>
  <conditionalFormatting sqref="Z397:Z403">
    <cfRule type="dataBar" priority="1273">
      <dataBar>
        <cfvo type="min"/>
        <cfvo type="max"/>
        <color rgb="FF628DC4"/>
      </dataBar>
    </cfRule>
  </conditionalFormatting>
  <conditionalFormatting sqref="Z409:Z413">
    <cfRule type="dataBar" priority="1339">
      <dataBar>
        <cfvo type="min"/>
        <cfvo type="max"/>
        <color rgb="FF628DC4"/>
      </dataBar>
    </cfRule>
  </conditionalFormatting>
  <conditionalFormatting sqref="Z419:Z422">
    <cfRule type="dataBar" priority="1405">
      <dataBar>
        <cfvo type="min"/>
        <cfvo type="max"/>
        <color rgb="FF628DC4"/>
      </dataBar>
    </cfRule>
  </conditionalFormatting>
  <conditionalFormatting sqref="Z428:Z434">
    <cfRule type="dataBar" priority="1471">
      <dataBar>
        <cfvo type="min"/>
        <cfvo type="max"/>
        <color rgb="FF628DC4"/>
      </dataBar>
    </cfRule>
  </conditionalFormatting>
  <conditionalFormatting sqref="Z440:Z444">
    <cfRule type="dataBar" priority="1537">
      <dataBar>
        <cfvo type="min"/>
        <cfvo type="max"/>
        <color rgb="FF628DC4"/>
      </dataBar>
    </cfRule>
  </conditionalFormatting>
  <conditionalFormatting sqref="Z450:Z453">
    <cfRule type="dataBar" priority="1603">
      <dataBar>
        <cfvo type="min"/>
        <cfvo type="max"/>
        <color rgb="FF628DC4"/>
      </dataBar>
    </cfRule>
  </conditionalFormatting>
  <conditionalFormatting sqref="Z459:Z465">
    <cfRule type="dataBar" priority="1669">
      <dataBar>
        <cfvo type="min"/>
        <cfvo type="max"/>
        <color rgb="FF628DC4"/>
      </dataBar>
    </cfRule>
  </conditionalFormatting>
  <conditionalFormatting sqref="Z471:Z475">
    <cfRule type="dataBar" priority="1735">
      <dataBar>
        <cfvo type="min"/>
        <cfvo type="max"/>
        <color rgb="FF628DC4"/>
      </dataBar>
    </cfRule>
  </conditionalFormatting>
  <conditionalFormatting sqref="Z481:Z483">
    <cfRule type="dataBar" priority="1801">
      <dataBar>
        <cfvo type="min"/>
        <cfvo type="max"/>
        <color rgb="FF628DC4"/>
      </dataBar>
    </cfRule>
  </conditionalFormatting>
  <conditionalFormatting sqref="Z489:Z600">
    <cfRule type="dataBar" priority="1867">
      <dataBar>
        <cfvo type="min"/>
        <cfvo type="max"/>
        <color rgb="FF628DC4"/>
      </dataBar>
    </cfRule>
  </conditionalFormatting>
  <conditionalFormatting sqref="Z606:Z613">
    <cfRule type="dataBar" priority="1933">
      <dataBar>
        <cfvo type="min"/>
        <cfvo type="max"/>
        <color rgb="FF628DC4"/>
      </dataBar>
    </cfRule>
  </conditionalFormatting>
  <conditionalFormatting sqref="Z619:Z626">
    <cfRule type="dataBar" priority="1999">
      <dataBar>
        <cfvo type="min"/>
        <cfvo type="max"/>
        <color rgb="FF628DC4"/>
      </dataBar>
    </cfRule>
  </conditionalFormatting>
  <conditionalFormatting sqref="AA6:AA8">
    <cfRule type="dataBar" priority="20">
      <dataBar>
        <cfvo type="min"/>
        <cfvo type="max"/>
        <color rgb="FFFFB628"/>
      </dataBar>
    </cfRule>
  </conditionalFormatting>
  <conditionalFormatting sqref="AA14:AA19">
    <cfRule type="dataBar" priority="86">
      <dataBar>
        <cfvo type="min"/>
        <cfvo type="max"/>
        <color rgb="FFFFB628"/>
      </dataBar>
    </cfRule>
  </conditionalFormatting>
  <conditionalFormatting sqref="AA25:AA75">
    <cfRule type="dataBar" priority="152">
      <dataBar>
        <cfvo type="min"/>
        <cfvo type="max"/>
        <color rgb="FFFFB628"/>
      </dataBar>
    </cfRule>
  </conditionalFormatting>
  <conditionalFormatting sqref="AA81:AA83">
    <cfRule type="dataBar" priority="218">
      <dataBar>
        <cfvo type="min"/>
        <cfvo type="max"/>
        <color rgb="FFFFB628"/>
      </dataBar>
    </cfRule>
  </conditionalFormatting>
  <conditionalFormatting sqref="AA89:AA92">
    <cfRule type="dataBar" priority="284">
      <dataBar>
        <cfvo type="min"/>
        <cfvo type="max"/>
        <color rgb="FFFFB628"/>
      </dataBar>
    </cfRule>
  </conditionalFormatting>
  <conditionalFormatting sqref="AA98:AA108">
    <cfRule type="dataBar" priority="350">
      <dataBar>
        <cfvo type="min"/>
        <cfvo type="max"/>
        <color rgb="FFFFB628"/>
      </dataBar>
    </cfRule>
  </conditionalFormatting>
  <conditionalFormatting sqref="AA114:AA120">
    <cfRule type="dataBar" priority="416">
      <dataBar>
        <cfvo type="min"/>
        <cfvo type="max"/>
        <color rgb="FFFFB628"/>
      </dataBar>
    </cfRule>
  </conditionalFormatting>
  <conditionalFormatting sqref="AA126:AA130">
    <cfRule type="dataBar" priority="482">
      <dataBar>
        <cfvo type="min"/>
        <cfvo type="max"/>
        <color rgb="FFFFB628"/>
      </dataBar>
    </cfRule>
  </conditionalFormatting>
  <conditionalFormatting sqref="AA136:AA142">
    <cfRule type="dataBar" priority="548">
      <dataBar>
        <cfvo type="min"/>
        <cfvo type="max"/>
        <color rgb="FFFFB628"/>
      </dataBar>
    </cfRule>
  </conditionalFormatting>
  <conditionalFormatting sqref="AA148:AA154">
    <cfRule type="dataBar" priority="614">
      <dataBar>
        <cfvo type="min"/>
        <cfvo type="max"/>
        <color rgb="FFFFB628"/>
      </dataBar>
    </cfRule>
  </conditionalFormatting>
  <conditionalFormatting sqref="AA160:AA237">
    <cfRule type="dataBar" priority="680">
      <dataBar>
        <cfvo type="min"/>
        <cfvo type="max"/>
        <color rgb="FFFFB628"/>
      </dataBar>
    </cfRule>
  </conditionalFormatting>
  <conditionalFormatting sqref="AA243:AA320">
    <cfRule type="dataBar" priority="746">
      <dataBar>
        <cfvo type="min"/>
        <cfvo type="max"/>
        <color rgb="FFFFB628"/>
      </dataBar>
    </cfRule>
  </conditionalFormatting>
  <conditionalFormatting sqref="AA326:AA329">
    <cfRule type="dataBar" priority="812">
      <dataBar>
        <cfvo type="min"/>
        <cfvo type="max"/>
        <color rgb="FFFFB628"/>
      </dataBar>
    </cfRule>
  </conditionalFormatting>
  <conditionalFormatting sqref="AA335:AA341">
    <cfRule type="dataBar" priority="878">
      <dataBar>
        <cfvo type="min"/>
        <cfvo type="max"/>
        <color rgb="FFFFB628"/>
      </dataBar>
    </cfRule>
  </conditionalFormatting>
  <conditionalFormatting sqref="AA347:AA351">
    <cfRule type="dataBar" priority="944">
      <dataBar>
        <cfvo type="min"/>
        <cfvo type="max"/>
        <color rgb="FFFFB628"/>
      </dataBar>
    </cfRule>
  </conditionalFormatting>
  <conditionalFormatting sqref="AA357:AA360">
    <cfRule type="dataBar" priority="1010">
      <dataBar>
        <cfvo type="min"/>
        <cfvo type="max"/>
        <color rgb="FFFFB628"/>
      </dataBar>
    </cfRule>
  </conditionalFormatting>
  <conditionalFormatting sqref="AA366:AA372">
    <cfRule type="dataBar" priority="1076">
      <dataBar>
        <cfvo type="min"/>
        <cfvo type="max"/>
        <color rgb="FFFFB628"/>
      </dataBar>
    </cfRule>
  </conditionalFormatting>
  <conditionalFormatting sqref="AA378:AA382">
    <cfRule type="dataBar" priority="1142">
      <dataBar>
        <cfvo type="min"/>
        <cfvo type="max"/>
        <color rgb="FFFFB628"/>
      </dataBar>
    </cfRule>
  </conditionalFormatting>
  <conditionalFormatting sqref="AA388:AA391">
    <cfRule type="dataBar" priority="1208">
      <dataBar>
        <cfvo type="min"/>
        <cfvo type="max"/>
        <color rgb="FFFFB628"/>
      </dataBar>
    </cfRule>
  </conditionalFormatting>
  <conditionalFormatting sqref="AA397:AA403">
    <cfRule type="dataBar" priority="1274">
      <dataBar>
        <cfvo type="min"/>
        <cfvo type="max"/>
        <color rgb="FFFFB628"/>
      </dataBar>
    </cfRule>
  </conditionalFormatting>
  <conditionalFormatting sqref="AA409:AA413">
    <cfRule type="dataBar" priority="1340">
      <dataBar>
        <cfvo type="min"/>
        <cfvo type="max"/>
        <color rgb="FFFFB628"/>
      </dataBar>
    </cfRule>
  </conditionalFormatting>
  <conditionalFormatting sqref="AA419:AA422">
    <cfRule type="dataBar" priority="1406">
      <dataBar>
        <cfvo type="min"/>
        <cfvo type="max"/>
        <color rgb="FFFFB628"/>
      </dataBar>
    </cfRule>
  </conditionalFormatting>
  <conditionalFormatting sqref="AA428:AA434">
    <cfRule type="dataBar" priority="1472">
      <dataBar>
        <cfvo type="min"/>
        <cfvo type="max"/>
        <color rgb="FFFFB628"/>
      </dataBar>
    </cfRule>
  </conditionalFormatting>
  <conditionalFormatting sqref="AA440:AA444">
    <cfRule type="dataBar" priority="1538">
      <dataBar>
        <cfvo type="min"/>
        <cfvo type="max"/>
        <color rgb="FFFFB628"/>
      </dataBar>
    </cfRule>
  </conditionalFormatting>
  <conditionalFormatting sqref="AA450:AA453">
    <cfRule type="dataBar" priority="1604">
      <dataBar>
        <cfvo type="min"/>
        <cfvo type="max"/>
        <color rgb="FFFFB628"/>
      </dataBar>
    </cfRule>
  </conditionalFormatting>
  <conditionalFormatting sqref="AA459:AA465">
    <cfRule type="dataBar" priority="1670">
      <dataBar>
        <cfvo type="min"/>
        <cfvo type="max"/>
        <color rgb="FFFFB628"/>
      </dataBar>
    </cfRule>
  </conditionalFormatting>
  <conditionalFormatting sqref="AA471:AA475">
    <cfRule type="dataBar" priority="1736">
      <dataBar>
        <cfvo type="min"/>
        <cfvo type="max"/>
        <color rgb="FFFFB628"/>
      </dataBar>
    </cfRule>
  </conditionalFormatting>
  <conditionalFormatting sqref="AA481:AA483">
    <cfRule type="dataBar" priority="1802">
      <dataBar>
        <cfvo type="min"/>
        <cfvo type="max"/>
        <color rgb="FFFFB628"/>
      </dataBar>
    </cfRule>
  </conditionalFormatting>
  <conditionalFormatting sqref="AA489:AA600">
    <cfRule type="dataBar" priority="1868">
      <dataBar>
        <cfvo type="min"/>
        <cfvo type="max"/>
        <color rgb="FFFFB628"/>
      </dataBar>
    </cfRule>
  </conditionalFormatting>
  <conditionalFormatting sqref="AA606:AA613">
    <cfRule type="dataBar" priority="1934">
      <dataBar>
        <cfvo type="min"/>
        <cfvo type="max"/>
        <color rgb="FFFFB628"/>
      </dataBar>
    </cfRule>
  </conditionalFormatting>
  <conditionalFormatting sqref="AA619:AA626">
    <cfRule type="dataBar" priority="2000">
      <dataBar>
        <cfvo type="min"/>
        <cfvo type="max"/>
        <color rgb="FFFFB628"/>
      </dataBar>
    </cfRule>
  </conditionalFormatting>
  <conditionalFormatting sqref="AB6:AB8">
    <cfRule type="dataBar" priority="21">
      <dataBar>
        <cfvo type="min"/>
        <cfvo type="max"/>
        <color rgb="FFF08D5B"/>
      </dataBar>
    </cfRule>
  </conditionalFormatting>
  <conditionalFormatting sqref="AB14:AB19">
    <cfRule type="dataBar" priority="87">
      <dataBar>
        <cfvo type="min"/>
        <cfvo type="max"/>
        <color rgb="FFF08D5B"/>
      </dataBar>
    </cfRule>
  </conditionalFormatting>
  <conditionalFormatting sqref="AB25:AB75">
    <cfRule type="dataBar" priority="153">
      <dataBar>
        <cfvo type="min"/>
        <cfvo type="max"/>
        <color rgb="FFF08D5B"/>
      </dataBar>
    </cfRule>
  </conditionalFormatting>
  <conditionalFormatting sqref="AB81:AB83">
    <cfRule type="dataBar" priority="219">
      <dataBar>
        <cfvo type="min"/>
        <cfvo type="max"/>
        <color rgb="FFF08D5B"/>
      </dataBar>
    </cfRule>
  </conditionalFormatting>
  <conditionalFormatting sqref="AB89:AB92">
    <cfRule type="dataBar" priority="285">
      <dataBar>
        <cfvo type="min"/>
        <cfvo type="max"/>
        <color rgb="FFF08D5B"/>
      </dataBar>
    </cfRule>
  </conditionalFormatting>
  <conditionalFormatting sqref="AB98:AB108">
    <cfRule type="dataBar" priority="351">
      <dataBar>
        <cfvo type="min"/>
        <cfvo type="max"/>
        <color rgb="FFF08D5B"/>
      </dataBar>
    </cfRule>
  </conditionalFormatting>
  <conditionalFormatting sqref="AB114:AB120">
    <cfRule type="dataBar" priority="417">
      <dataBar>
        <cfvo type="min"/>
        <cfvo type="max"/>
        <color rgb="FFF08D5B"/>
      </dataBar>
    </cfRule>
  </conditionalFormatting>
  <conditionalFormatting sqref="AB126:AB130">
    <cfRule type="dataBar" priority="483">
      <dataBar>
        <cfvo type="min"/>
        <cfvo type="max"/>
        <color rgb="FFF08D5B"/>
      </dataBar>
    </cfRule>
  </conditionalFormatting>
  <conditionalFormatting sqref="AB136:AB142">
    <cfRule type="dataBar" priority="549">
      <dataBar>
        <cfvo type="min"/>
        <cfvo type="max"/>
        <color rgb="FFF08D5B"/>
      </dataBar>
    </cfRule>
  </conditionalFormatting>
  <conditionalFormatting sqref="AB148:AB154">
    <cfRule type="dataBar" priority="615">
      <dataBar>
        <cfvo type="min"/>
        <cfvo type="max"/>
        <color rgb="FFF08D5B"/>
      </dataBar>
    </cfRule>
  </conditionalFormatting>
  <conditionalFormatting sqref="AB160:AB237">
    <cfRule type="dataBar" priority="681">
      <dataBar>
        <cfvo type="min"/>
        <cfvo type="max"/>
        <color rgb="FFF08D5B"/>
      </dataBar>
    </cfRule>
  </conditionalFormatting>
  <conditionalFormatting sqref="AB243:AB320">
    <cfRule type="dataBar" priority="747">
      <dataBar>
        <cfvo type="min"/>
        <cfvo type="max"/>
        <color rgb="FFF08D5B"/>
      </dataBar>
    </cfRule>
  </conditionalFormatting>
  <conditionalFormatting sqref="AB326:AB329">
    <cfRule type="dataBar" priority="813">
      <dataBar>
        <cfvo type="min"/>
        <cfvo type="max"/>
        <color rgb="FFF08D5B"/>
      </dataBar>
    </cfRule>
  </conditionalFormatting>
  <conditionalFormatting sqref="AB335:AB341">
    <cfRule type="dataBar" priority="879">
      <dataBar>
        <cfvo type="min"/>
        <cfvo type="max"/>
        <color rgb="FFF08D5B"/>
      </dataBar>
    </cfRule>
  </conditionalFormatting>
  <conditionalFormatting sqref="AB347:AB351">
    <cfRule type="dataBar" priority="945">
      <dataBar>
        <cfvo type="min"/>
        <cfvo type="max"/>
        <color rgb="FFF08D5B"/>
      </dataBar>
    </cfRule>
  </conditionalFormatting>
  <conditionalFormatting sqref="AB357:AB360">
    <cfRule type="dataBar" priority="1011">
      <dataBar>
        <cfvo type="min"/>
        <cfvo type="max"/>
        <color rgb="FFF08D5B"/>
      </dataBar>
    </cfRule>
  </conditionalFormatting>
  <conditionalFormatting sqref="AB366:AB372">
    <cfRule type="dataBar" priority="1077">
      <dataBar>
        <cfvo type="min"/>
        <cfvo type="max"/>
        <color rgb="FFF08D5B"/>
      </dataBar>
    </cfRule>
  </conditionalFormatting>
  <conditionalFormatting sqref="AB378:AB382">
    <cfRule type="dataBar" priority="1143">
      <dataBar>
        <cfvo type="min"/>
        <cfvo type="max"/>
        <color rgb="FFF08D5B"/>
      </dataBar>
    </cfRule>
  </conditionalFormatting>
  <conditionalFormatting sqref="AB388:AB391">
    <cfRule type="dataBar" priority="1209">
      <dataBar>
        <cfvo type="min"/>
        <cfvo type="max"/>
        <color rgb="FFF08D5B"/>
      </dataBar>
    </cfRule>
  </conditionalFormatting>
  <conditionalFormatting sqref="AB397:AB403">
    <cfRule type="dataBar" priority="1275">
      <dataBar>
        <cfvo type="min"/>
        <cfvo type="max"/>
        <color rgb="FFF08D5B"/>
      </dataBar>
    </cfRule>
  </conditionalFormatting>
  <conditionalFormatting sqref="AB409:AB413">
    <cfRule type="dataBar" priority="1341">
      <dataBar>
        <cfvo type="min"/>
        <cfvo type="max"/>
        <color rgb="FFF08D5B"/>
      </dataBar>
    </cfRule>
  </conditionalFormatting>
  <conditionalFormatting sqref="AB419:AB422">
    <cfRule type="dataBar" priority="1407">
      <dataBar>
        <cfvo type="min"/>
        <cfvo type="max"/>
        <color rgb="FFF08D5B"/>
      </dataBar>
    </cfRule>
  </conditionalFormatting>
  <conditionalFormatting sqref="AB428:AB434">
    <cfRule type="dataBar" priority="1473">
      <dataBar>
        <cfvo type="min"/>
        <cfvo type="max"/>
        <color rgb="FFF08D5B"/>
      </dataBar>
    </cfRule>
  </conditionalFormatting>
  <conditionalFormatting sqref="AB440:AB444">
    <cfRule type="dataBar" priority="1539">
      <dataBar>
        <cfvo type="min"/>
        <cfvo type="max"/>
        <color rgb="FFF08D5B"/>
      </dataBar>
    </cfRule>
  </conditionalFormatting>
  <conditionalFormatting sqref="AB450:AB453">
    <cfRule type="dataBar" priority="1605">
      <dataBar>
        <cfvo type="min"/>
        <cfvo type="max"/>
        <color rgb="FFF08D5B"/>
      </dataBar>
    </cfRule>
  </conditionalFormatting>
  <conditionalFormatting sqref="AB459:AB465">
    <cfRule type="dataBar" priority="1671">
      <dataBar>
        <cfvo type="min"/>
        <cfvo type="max"/>
        <color rgb="FFF08D5B"/>
      </dataBar>
    </cfRule>
  </conditionalFormatting>
  <conditionalFormatting sqref="AB471:AB475">
    <cfRule type="dataBar" priority="1737">
      <dataBar>
        <cfvo type="min"/>
        <cfvo type="max"/>
        <color rgb="FFF08D5B"/>
      </dataBar>
    </cfRule>
  </conditionalFormatting>
  <conditionalFormatting sqref="AB481:AB483">
    <cfRule type="dataBar" priority="1803">
      <dataBar>
        <cfvo type="min"/>
        <cfvo type="max"/>
        <color rgb="FFF08D5B"/>
      </dataBar>
    </cfRule>
  </conditionalFormatting>
  <conditionalFormatting sqref="AB489:AB600">
    <cfRule type="dataBar" priority="1869">
      <dataBar>
        <cfvo type="min"/>
        <cfvo type="max"/>
        <color rgb="FFF08D5B"/>
      </dataBar>
    </cfRule>
  </conditionalFormatting>
  <conditionalFormatting sqref="AB606:AB613">
    <cfRule type="dataBar" priority="1935">
      <dataBar>
        <cfvo type="min"/>
        <cfvo type="max"/>
        <color rgb="FFF08D5B"/>
      </dataBar>
    </cfRule>
  </conditionalFormatting>
  <conditionalFormatting sqref="AB619:AB626">
    <cfRule type="dataBar" priority="2001">
      <dataBar>
        <cfvo type="min"/>
        <cfvo type="max"/>
        <color rgb="FFF08D5B"/>
      </dataBar>
    </cfRule>
  </conditionalFormatting>
  <conditionalFormatting sqref="AD6:AD8">
    <cfRule type="dataBar" priority="22">
      <dataBar>
        <cfvo type="min"/>
        <cfvo type="max"/>
        <color rgb="FF628DC4"/>
      </dataBar>
    </cfRule>
  </conditionalFormatting>
  <conditionalFormatting sqref="AD14:AD19">
    <cfRule type="dataBar" priority="88">
      <dataBar>
        <cfvo type="min"/>
        <cfvo type="max"/>
        <color rgb="FF628DC4"/>
      </dataBar>
    </cfRule>
  </conditionalFormatting>
  <conditionalFormatting sqref="AD25:AD75">
    <cfRule type="dataBar" priority="154">
      <dataBar>
        <cfvo type="min"/>
        <cfvo type="max"/>
        <color rgb="FF628DC4"/>
      </dataBar>
    </cfRule>
  </conditionalFormatting>
  <conditionalFormatting sqref="AD81:AD83">
    <cfRule type="dataBar" priority="220">
      <dataBar>
        <cfvo type="min"/>
        <cfvo type="max"/>
        <color rgb="FF628DC4"/>
      </dataBar>
    </cfRule>
  </conditionalFormatting>
  <conditionalFormatting sqref="AD89:AD92">
    <cfRule type="dataBar" priority="286">
      <dataBar>
        <cfvo type="min"/>
        <cfvo type="max"/>
        <color rgb="FF628DC4"/>
      </dataBar>
    </cfRule>
  </conditionalFormatting>
  <conditionalFormatting sqref="AD98:AD108">
    <cfRule type="dataBar" priority="352">
      <dataBar>
        <cfvo type="min"/>
        <cfvo type="max"/>
        <color rgb="FF628DC4"/>
      </dataBar>
    </cfRule>
  </conditionalFormatting>
  <conditionalFormatting sqref="AD114:AD120">
    <cfRule type="dataBar" priority="418">
      <dataBar>
        <cfvo type="min"/>
        <cfvo type="max"/>
        <color rgb="FF628DC4"/>
      </dataBar>
    </cfRule>
  </conditionalFormatting>
  <conditionalFormatting sqref="AD126:AD130">
    <cfRule type="dataBar" priority="484">
      <dataBar>
        <cfvo type="min"/>
        <cfvo type="max"/>
        <color rgb="FF628DC4"/>
      </dataBar>
    </cfRule>
  </conditionalFormatting>
  <conditionalFormatting sqref="AD136:AD142">
    <cfRule type="dataBar" priority="550">
      <dataBar>
        <cfvo type="min"/>
        <cfvo type="max"/>
        <color rgb="FF628DC4"/>
      </dataBar>
    </cfRule>
  </conditionalFormatting>
  <conditionalFormatting sqref="AD148:AD154">
    <cfRule type="dataBar" priority="616">
      <dataBar>
        <cfvo type="min"/>
        <cfvo type="max"/>
        <color rgb="FF628DC4"/>
      </dataBar>
    </cfRule>
  </conditionalFormatting>
  <conditionalFormatting sqref="AD160:AD237">
    <cfRule type="dataBar" priority="682">
      <dataBar>
        <cfvo type="min"/>
        <cfvo type="max"/>
        <color rgb="FF628DC4"/>
      </dataBar>
    </cfRule>
  </conditionalFormatting>
  <conditionalFormatting sqref="AD243:AD320">
    <cfRule type="dataBar" priority="748">
      <dataBar>
        <cfvo type="min"/>
        <cfvo type="max"/>
        <color rgb="FF628DC4"/>
      </dataBar>
    </cfRule>
  </conditionalFormatting>
  <conditionalFormatting sqref="AD326:AD329">
    <cfRule type="dataBar" priority="814">
      <dataBar>
        <cfvo type="min"/>
        <cfvo type="max"/>
        <color rgb="FF628DC4"/>
      </dataBar>
    </cfRule>
  </conditionalFormatting>
  <conditionalFormatting sqref="AD335:AD341">
    <cfRule type="dataBar" priority="880">
      <dataBar>
        <cfvo type="min"/>
        <cfvo type="max"/>
        <color rgb="FF628DC4"/>
      </dataBar>
    </cfRule>
  </conditionalFormatting>
  <conditionalFormatting sqref="AD347:AD351">
    <cfRule type="dataBar" priority="946">
      <dataBar>
        <cfvo type="min"/>
        <cfvo type="max"/>
        <color rgb="FF628DC4"/>
      </dataBar>
    </cfRule>
  </conditionalFormatting>
  <conditionalFormatting sqref="AD357:AD360">
    <cfRule type="dataBar" priority="1012">
      <dataBar>
        <cfvo type="min"/>
        <cfvo type="max"/>
        <color rgb="FF628DC4"/>
      </dataBar>
    </cfRule>
  </conditionalFormatting>
  <conditionalFormatting sqref="AD366:AD372">
    <cfRule type="dataBar" priority="1078">
      <dataBar>
        <cfvo type="min"/>
        <cfvo type="max"/>
        <color rgb="FF628DC4"/>
      </dataBar>
    </cfRule>
  </conditionalFormatting>
  <conditionalFormatting sqref="AD378:AD382">
    <cfRule type="dataBar" priority="1144">
      <dataBar>
        <cfvo type="min"/>
        <cfvo type="max"/>
        <color rgb="FF628DC4"/>
      </dataBar>
    </cfRule>
  </conditionalFormatting>
  <conditionalFormatting sqref="AD388:AD391">
    <cfRule type="dataBar" priority="1210">
      <dataBar>
        <cfvo type="min"/>
        <cfvo type="max"/>
        <color rgb="FF628DC4"/>
      </dataBar>
    </cfRule>
  </conditionalFormatting>
  <conditionalFormatting sqref="AD397:AD403">
    <cfRule type="dataBar" priority="1276">
      <dataBar>
        <cfvo type="min"/>
        <cfvo type="max"/>
        <color rgb="FF628DC4"/>
      </dataBar>
    </cfRule>
  </conditionalFormatting>
  <conditionalFormatting sqref="AD409:AD413">
    <cfRule type="dataBar" priority="1342">
      <dataBar>
        <cfvo type="min"/>
        <cfvo type="max"/>
        <color rgb="FF628DC4"/>
      </dataBar>
    </cfRule>
  </conditionalFormatting>
  <conditionalFormatting sqref="AD419:AD422">
    <cfRule type="dataBar" priority="1408">
      <dataBar>
        <cfvo type="min"/>
        <cfvo type="max"/>
        <color rgb="FF628DC4"/>
      </dataBar>
    </cfRule>
  </conditionalFormatting>
  <conditionalFormatting sqref="AD428:AD434">
    <cfRule type="dataBar" priority="1474">
      <dataBar>
        <cfvo type="min"/>
        <cfvo type="max"/>
        <color rgb="FF628DC4"/>
      </dataBar>
    </cfRule>
  </conditionalFormatting>
  <conditionalFormatting sqref="AD440:AD444">
    <cfRule type="dataBar" priority="1540">
      <dataBar>
        <cfvo type="min"/>
        <cfvo type="max"/>
        <color rgb="FF628DC4"/>
      </dataBar>
    </cfRule>
  </conditionalFormatting>
  <conditionalFormatting sqref="AD450:AD453">
    <cfRule type="dataBar" priority="1606">
      <dataBar>
        <cfvo type="min"/>
        <cfvo type="max"/>
        <color rgb="FF628DC4"/>
      </dataBar>
    </cfRule>
  </conditionalFormatting>
  <conditionalFormatting sqref="AD459:AD465">
    <cfRule type="dataBar" priority="1672">
      <dataBar>
        <cfvo type="min"/>
        <cfvo type="max"/>
        <color rgb="FF628DC4"/>
      </dataBar>
    </cfRule>
  </conditionalFormatting>
  <conditionalFormatting sqref="AD471:AD475">
    <cfRule type="dataBar" priority="1738">
      <dataBar>
        <cfvo type="min"/>
        <cfvo type="max"/>
        <color rgb="FF628DC4"/>
      </dataBar>
    </cfRule>
  </conditionalFormatting>
  <conditionalFormatting sqref="AD481:AD483">
    <cfRule type="dataBar" priority="1804">
      <dataBar>
        <cfvo type="min"/>
        <cfvo type="max"/>
        <color rgb="FF628DC4"/>
      </dataBar>
    </cfRule>
  </conditionalFormatting>
  <conditionalFormatting sqref="AD489:AD600">
    <cfRule type="dataBar" priority="1870">
      <dataBar>
        <cfvo type="min"/>
        <cfvo type="max"/>
        <color rgb="FF628DC4"/>
      </dataBar>
    </cfRule>
  </conditionalFormatting>
  <conditionalFormatting sqref="AD606:AD613">
    <cfRule type="dataBar" priority="1936">
      <dataBar>
        <cfvo type="min"/>
        <cfvo type="max"/>
        <color rgb="FF628DC4"/>
      </dataBar>
    </cfRule>
  </conditionalFormatting>
  <conditionalFormatting sqref="AD619:AD626">
    <cfRule type="dataBar" priority="2002">
      <dataBar>
        <cfvo type="min"/>
        <cfvo type="max"/>
        <color rgb="FF628DC4"/>
      </dataBar>
    </cfRule>
  </conditionalFormatting>
  <conditionalFormatting sqref="AE6:AE8">
    <cfRule type="dataBar" priority="23">
      <dataBar>
        <cfvo type="min"/>
        <cfvo type="max"/>
        <color rgb="FFFFB628"/>
      </dataBar>
    </cfRule>
  </conditionalFormatting>
  <conditionalFormatting sqref="AE14:AE19">
    <cfRule type="dataBar" priority="89">
      <dataBar>
        <cfvo type="min"/>
        <cfvo type="max"/>
        <color rgb="FFFFB628"/>
      </dataBar>
    </cfRule>
  </conditionalFormatting>
  <conditionalFormatting sqref="AE25:AE75">
    <cfRule type="dataBar" priority="155">
      <dataBar>
        <cfvo type="min"/>
        <cfvo type="max"/>
        <color rgb="FFFFB628"/>
      </dataBar>
    </cfRule>
  </conditionalFormatting>
  <conditionalFormatting sqref="AE81:AE83">
    <cfRule type="dataBar" priority="221">
      <dataBar>
        <cfvo type="min"/>
        <cfvo type="max"/>
        <color rgb="FFFFB628"/>
      </dataBar>
    </cfRule>
  </conditionalFormatting>
  <conditionalFormatting sqref="AE89:AE92">
    <cfRule type="dataBar" priority="287">
      <dataBar>
        <cfvo type="min"/>
        <cfvo type="max"/>
        <color rgb="FFFFB628"/>
      </dataBar>
    </cfRule>
  </conditionalFormatting>
  <conditionalFormatting sqref="AE98:AE108">
    <cfRule type="dataBar" priority="353">
      <dataBar>
        <cfvo type="min"/>
        <cfvo type="max"/>
        <color rgb="FFFFB628"/>
      </dataBar>
    </cfRule>
  </conditionalFormatting>
  <conditionalFormatting sqref="AE114:AE120">
    <cfRule type="dataBar" priority="419">
      <dataBar>
        <cfvo type="min"/>
        <cfvo type="max"/>
        <color rgb="FFFFB628"/>
      </dataBar>
    </cfRule>
  </conditionalFormatting>
  <conditionalFormatting sqref="AE126:AE130">
    <cfRule type="dataBar" priority="485">
      <dataBar>
        <cfvo type="min"/>
        <cfvo type="max"/>
        <color rgb="FFFFB628"/>
      </dataBar>
    </cfRule>
  </conditionalFormatting>
  <conditionalFormatting sqref="AE136:AE142">
    <cfRule type="dataBar" priority="551">
      <dataBar>
        <cfvo type="min"/>
        <cfvo type="max"/>
        <color rgb="FFFFB628"/>
      </dataBar>
    </cfRule>
  </conditionalFormatting>
  <conditionalFormatting sqref="AE148:AE154">
    <cfRule type="dataBar" priority="617">
      <dataBar>
        <cfvo type="min"/>
        <cfvo type="max"/>
        <color rgb="FFFFB628"/>
      </dataBar>
    </cfRule>
  </conditionalFormatting>
  <conditionalFormatting sqref="AE160:AE237">
    <cfRule type="dataBar" priority="683">
      <dataBar>
        <cfvo type="min"/>
        <cfvo type="max"/>
        <color rgb="FFFFB628"/>
      </dataBar>
    </cfRule>
  </conditionalFormatting>
  <conditionalFormatting sqref="AE243:AE320">
    <cfRule type="dataBar" priority="749">
      <dataBar>
        <cfvo type="min"/>
        <cfvo type="max"/>
        <color rgb="FFFFB628"/>
      </dataBar>
    </cfRule>
  </conditionalFormatting>
  <conditionalFormatting sqref="AE326:AE329">
    <cfRule type="dataBar" priority="815">
      <dataBar>
        <cfvo type="min"/>
        <cfvo type="max"/>
        <color rgb="FFFFB628"/>
      </dataBar>
    </cfRule>
  </conditionalFormatting>
  <conditionalFormatting sqref="AE335:AE341">
    <cfRule type="dataBar" priority="881">
      <dataBar>
        <cfvo type="min"/>
        <cfvo type="max"/>
        <color rgb="FFFFB628"/>
      </dataBar>
    </cfRule>
  </conditionalFormatting>
  <conditionalFormatting sqref="AE347:AE351">
    <cfRule type="dataBar" priority="947">
      <dataBar>
        <cfvo type="min"/>
        <cfvo type="max"/>
        <color rgb="FFFFB628"/>
      </dataBar>
    </cfRule>
  </conditionalFormatting>
  <conditionalFormatting sqref="AE357:AE360">
    <cfRule type="dataBar" priority="1013">
      <dataBar>
        <cfvo type="min"/>
        <cfvo type="max"/>
        <color rgb="FFFFB628"/>
      </dataBar>
    </cfRule>
  </conditionalFormatting>
  <conditionalFormatting sqref="AE366:AE372">
    <cfRule type="dataBar" priority="1079">
      <dataBar>
        <cfvo type="min"/>
        <cfvo type="max"/>
        <color rgb="FFFFB628"/>
      </dataBar>
    </cfRule>
  </conditionalFormatting>
  <conditionalFormatting sqref="AE378:AE382">
    <cfRule type="dataBar" priority="1145">
      <dataBar>
        <cfvo type="min"/>
        <cfvo type="max"/>
        <color rgb="FFFFB628"/>
      </dataBar>
    </cfRule>
  </conditionalFormatting>
  <conditionalFormatting sqref="AE388:AE391">
    <cfRule type="dataBar" priority="1211">
      <dataBar>
        <cfvo type="min"/>
        <cfvo type="max"/>
        <color rgb="FFFFB628"/>
      </dataBar>
    </cfRule>
  </conditionalFormatting>
  <conditionalFormatting sqref="AE397:AE403">
    <cfRule type="dataBar" priority="1277">
      <dataBar>
        <cfvo type="min"/>
        <cfvo type="max"/>
        <color rgb="FFFFB628"/>
      </dataBar>
    </cfRule>
  </conditionalFormatting>
  <conditionalFormatting sqref="AE409:AE413">
    <cfRule type="dataBar" priority="1343">
      <dataBar>
        <cfvo type="min"/>
        <cfvo type="max"/>
        <color rgb="FFFFB628"/>
      </dataBar>
    </cfRule>
  </conditionalFormatting>
  <conditionalFormatting sqref="AE419:AE422">
    <cfRule type="dataBar" priority="1409">
      <dataBar>
        <cfvo type="min"/>
        <cfvo type="max"/>
        <color rgb="FFFFB628"/>
      </dataBar>
    </cfRule>
  </conditionalFormatting>
  <conditionalFormatting sqref="AE428:AE434">
    <cfRule type="dataBar" priority="1475">
      <dataBar>
        <cfvo type="min"/>
        <cfvo type="max"/>
        <color rgb="FFFFB628"/>
      </dataBar>
    </cfRule>
  </conditionalFormatting>
  <conditionalFormatting sqref="AE440:AE444">
    <cfRule type="dataBar" priority="1541">
      <dataBar>
        <cfvo type="min"/>
        <cfvo type="max"/>
        <color rgb="FFFFB628"/>
      </dataBar>
    </cfRule>
  </conditionalFormatting>
  <conditionalFormatting sqref="AE450:AE453">
    <cfRule type="dataBar" priority="1607">
      <dataBar>
        <cfvo type="min"/>
        <cfvo type="max"/>
        <color rgb="FFFFB628"/>
      </dataBar>
    </cfRule>
  </conditionalFormatting>
  <conditionalFormatting sqref="AE459:AE465">
    <cfRule type="dataBar" priority="1673">
      <dataBar>
        <cfvo type="min"/>
        <cfvo type="max"/>
        <color rgb="FFFFB628"/>
      </dataBar>
    </cfRule>
  </conditionalFormatting>
  <conditionalFormatting sqref="AE471:AE475">
    <cfRule type="dataBar" priority="1739">
      <dataBar>
        <cfvo type="min"/>
        <cfvo type="max"/>
        <color rgb="FFFFB628"/>
      </dataBar>
    </cfRule>
  </conditionalFormatting>
  <conditionalFormatting sqref="AE481:AE483">
    <cfRule type="dataBar" priority="1805">
      <dataBar>
        <cfvo type="min"/>
        <cfvo type="max"/>
        <color rgb="FFFFB628"/>
      </dataBar>
    </cfRule>
  </conditionalFormatting>
  <conditionalFormatting sqref="AE489:AE600">
    <cfRule type="dataBar" priority="1871">
      <dataBar>
        <cfvo type="min"/>
        <cfvo type="max"/>
        <color rgb="FFFFB628"/>
      </dataBar>
    </cfRule>
  </conditionalFormatting>
  <conditionalFormatting sqref="AE606:AE613">
    <cfRule type="dataBar" priority="1937">
      <dataBar>
        <cfvo type="min"/>
        <cfvo type="max"/>
        <color rgb="FFFFB628"/>
      </dataBar>
    </cfRule>
  </conditionalFormatting>
  <conditionalFormatting sqref="AE619:AE626">
    <cfRule type="dataBar" priority="2003">
      <dataBar>
        <cfvo type="min"/>
        <cfvo type="max"/>
        <color rgb="FFFFB628"/>
      </dataBar>
    </cfRule>
  </conditionalFormatting>
  <conditionalFormatting sqref="AF6:AF8">
    <cfRule type="dataBar" priority="24">
      <dataBar>
        <cfvo type="min"/>
        <cfvo type="max"/>
        <color rgb="FFF08D5B"/>
      </dataBar>
    </cfRule>
  </conditionalFormatting>
  <conditionalFormatting sqref="AF14:AF19">
    <cfRule type="dataBar" priority="90">
      <dataBar>
        <cfvo type="min"/>
        <cfvo type="max"/>
        <color rgb="FFF08D5B"/>
      </dataBar>
    </cfRule>
  </conditionalFormatting>
  <conditionalFormatting sqref="AF25:AF75">
    <cfRule type="dataBar" priority="156">
      <dataBar>
        <cfvo type="min"/>
        <cfvo type="max"/>
        <color rgb="FFF08D5B"/>
      </dataBar>
    </cfRule>
  </conditionalFormatting>
  <conditionalFormatting sqref="AF81:AF83">
    <cfRule type="dataBar" priority="222">
      <dataBar>
        <cfvo type="min"/>
        <cfvo type="max"/>
        <color rgb="FFF08D5B"/>
      </dataBar>
    </cfRule>
  </conditionalFormatting>
  <conditionalFormatting sqref="AF89:AF92">
    <cfRule type="dataBar" priority="288">
      <dataBar>
        <cfvo type="min"/>
        <cfvo type="max"/>
        <color rgb="FFF08D5B"/>
      </dataBar>
    </cfRule>
  </conditionalFormatting>
  <conditionalFormatting sqref="AF98:AF108">
    <cfRule type="dataBar" priority="354">
      <dataBar>
        <cfvo type="min"/>
        <cfvo type="max"/>
        <color rgb="FFF08D5B"/>
      </dataBar>
    </cfRule>
  </conditionalFormatting>
  <conditionalFormatting sqref="AF114:AF120">
    <cfRule type="dataBar" priority="420">
      <dataBar>
        <cfvo type="min"/>
        <cfvo type="max"/>
        <color rgb="FFF08D5B"/>
      </dataBar>
    </cfRule>
  </conditionalFormatting>
  <conditionalFormatting sqref="AF126:AF130">
    <cfRule type="dataBar" priority="486">
      <dataBar>
        <cfvo type="min"/>
        <cfvo type="max"/>
        <color rgb="FFF08D5B"/>
      </dataBar>
    </cfRule>
  </conditionalFormatting>
  <conditionalFormatting sqref="AF136:AF142">
    <cfRule type="dataBar" priority="552">
      <dataBar>
        <cfvo type="min"/>
        <cfvo type="max"/>
        <color rgb="FFF08D5B"/>
      </dataBar>
    </cfRule>
  </conditionalFormatting>
  <conditionalFormatting sqref="AF148:AF154">
    <cfRule type="dataBar" priority="618">
      <dataBar>
        <cfvo type="min"/>
        <cfvo type="max"/>
        <color rgb="FFF08D5B"/>
      </dataBar>
    </cfRule>
  </conditionalFormatting>
  <conditionalFormatting sqref="AF160:AF237">
    <cfRule type="dataBar" priority="684">
      <dataBar>
        <cfvo type="min"/>
        <cfvo type="max"/>
        <color rgb="FFF08D5B"/>
      </dataBar>
    </cfRule>
  </conditionalFormatting>
  <conditionalFormatting sqref="AF243:AF320">
    <cfRule type="dataBar" priority="750">
      <dataBar>
        <cfvo type="min"/>
        <cfvo type="max"/>
        <color rgb="FFF08D5B"/>
      </dataBar>
    </cfRule>
  </conditionalFormatting>
  <conditionalFormatting sqref="AF326:AF329">
    <cfRule type="dataBar" priority="816">
      <dataBar>
        <cfvo type="min"/>
        <cfvo type="max"/>
        <color rgb="FFF08D5B"/>
      </dataBar>
    </cfRule>
  </conditionalFormatting>
  <conditionalFormatting sqref="AF335:AF341">
    <cfRule type="dataBar" priority="882">
      <dataBar>
        <cfvo type="min"/>
        <cfvo type="max"/>
        <color rgb="FFF08D5B"/>
      </dataBar>
    </cfRule>
  </conditionalFormatting>
  <conditionalFormatting sqref="AF347:AF351">
    <cfRule type="dataBar" priority="948">
      <dataBar>
        <cfvo type="min"/>
        <cfvo type="max"/>
        <color rgb="FFF08D5B"/>
      </dataBar>
    </cfRule>
  </conditionalFormatting>
  <conditionalFormatting sqref="AF357:AF360">
    <cfRule type="dataBar" priority="1014">
      <dataBar>
        <cfvo type="min"/>
        <cfvo type="max"/>
        <color rgb="FFF08D5B"/>
      </dataBar>
    </cfRule>
  </conditionalFormatting>
  <conditionalFormatting sqref="AF366:AF372">
    <cfRule type="dataBar" priority="1080">
      <dataBar>
        <cfvo type="min"/>
        <cfvo type="max"/>
        <color rgb="FFF08D5B"/>
      </dataBar>
    </cfRule>
  </conditionalFormatting>
  <conditionalFormatting sqref="AF378:AF382">
    <cfRule type="dataBar" priority="1146">
      <dataBar>
        <cfvo type="min"/>
        <cfvo type="max"/>
        <color rgb="FFF08D5B"/>
      </dataBar>
    </cfRule>
  </conditionalFormatting>
  <conditionalFormatting sqref="AF388:AF391">
    <cfRule type="dataBar" priority="1212">
      <dataBar>
        <cfvo type="min"/>
        <cfvo type="max"/>
        <color rgb="FFF08D5B"/>
      </dataBar>
    </cfRule>
  </conditionalFormatting>
  <conditionalFormatting sqref="AF397:AF403">
    <cfRule type="dataBar" priority="1278">
      <dataBar>
        <cfvo type="min"/>
        <cfvo type="max"/>
        <color rgb="FFF08D5B"/>
      </dataBar>
    </cfRule>
  </conditionalFormatting>
  <conditionalFormatting sqref="AF409:AF413">
    <cfRule type="dataBar" priority="1344">
      <dataBar>
        <cfvo type="min"/>
        <cfvo type="max"/>
        <color rgb="FFF08D5B"/>
      </dataBar>
    </cfRule>
  </conditionalFormatting>
  <conditionalFormatting sqref="AF419:AF422">
    <cfRule type="dataBar" priority="1410">
      <dataBar>
        <cfvo type="min"/>
        <cfvo type="max"/>
        <color rgb="FFF08D5B"/>
      </dataBar>
    </cfRule>
  </conditionalFormatting>
  <conditionalFormatting sqref="AF428:AF434">
    <cfRule type="dataBar" priority="1476">
      <dataBar>
        <cfvo type="min"/>
        <cfvo type="max"/>
        <color rgb="FFF08D5B"/>
      </dataBar>
    </cfRule>
  </conditionalFormatting>
  <conditionalFormatting sqref="AF440:AF444">
    <cfRule type="dataBar" priority="1542">
      <dataBar>
        <cfvo type="min"/>
        <cfvo type="max"/>
        <color rgb="FFF08D5B"/>
      </dataBar>
    </cfRule>
  </conditionalFormatting>
  <conditionalFormatting sqref="AF450:AF453">
    <cfRule type="dataBar" priority="1608">
      <dataBar>
        <cfvo type="min"/>
        <cfvo type="max"/>
        <color rgb="FFF08D5B"/>
      </dataBar>
    </cfRule>
  </conditionalFormatting>
  <conditionalFormatting sqref="AF459:AF465">
    <cfRule type="dataBar" priority="1674">
      <dataBar>
        <cfvo type="min"/>
        <cfvo type="max"/>
        <color rgb="FFF08D5B"/>
      </dataBar>
    </cfRule>
  </conditionalFormatting>
  <conditionalFormatting sqref="AF471:AF475">
    <cfRule type="dataBar" priority="1740">
      <dataBar>
        <cfvo type="min"/>
        <cfvo type="max"/>
        <color rgb="FFF08D5B"/>
      </dataBar>
    </cfRule>
  </conditionalFormatting>
  <conditionalFormatting sqref="AF481:AF483">
    <cfRule type="dataBar" priority="1806">
      <dataBar>
        <cfvo type="min"/>
        <cfvo type="max"/>
        <color rgb="FFF08D5B"/>
      </dataBar>
    </cfRule>
  </conditionalFormatting>
  <conditionalFormatting sqref="AF489:AF600">
    <cfRule type="dataBar" priority="1872">
      <dataBar>
        <cfvo type="min"/>
        <cfvo type="max"/>
        <color rgb="FFF08D5B"/>
      </dataBar>
    </cfRule>
  </conditionalFormatting>
  <conditionalFormatting sqref="AF606:AF613">
    <cfRule type="dataBar" priority="1938">
      <dataBar>
        <cfvo type="min"/>
        <cfvo type="max"/>
        <color rgb="FFF08D5B"/>
      </dataBar>
    </cfRule>
  </conditionalFormatting>
  <conditionalFormatting sqref="AF619:AF626">
    <cfRule type="dataBar" priority="2004">
      <dataBar>
        <cfvo type="min"/>
        <cfvo type="max"/>
        <color rgb="FFF08D5B"/>
      </dataBar>
    </cfRule>
  </conditionalFormatting>
  <conditionalFormatting sqref="AH6:AH8">
    <cfRule type="dataBar" priority="25">
      <dataBar>
        <cfvo type="min"/>
        <cfvo type="max"/>
        <color rgb="FF628DC4"/>
      </dataBar>
    </cfRule>
  </conditionalFormatting>
  <conditionalFormatting sqref="AH14:AH19">
    <cfRule type="dataBar" priority="91">
      <dataBar>
        <cfvo type="min"/>
        <cfvo type="max"/>
        <color rgb="FF628DC4"/>
      </dataBar>
    </cfRule>
  </conditionalFormatting>
  <conditionalFormatting sqref="AH25:AH75">
    <cfRule type="dataBar" priority="157">
      <dataBar>
        <cfvo type="min"/>
        <cfvo type="max"/>
        <color rgb="FF628DC4"/>
      </dataBar>
    </cfRule>
  </conditionalFormatting>
  <conditionalFormatting sqref="AH81:AH83">
    <cfRule type="dataBar" priority="223">
      <dataBar>
        <cfvo type="min"/>
        <cfvo type="max"/>
        <color rgb="FF628DC4"/>
      </dataBar>
    </cfRule>
  </conditionalFormatting>
  <conditionalFormatting sqref="AH89:AH92">
    <cfRule type="dataBar" priority="289">
      <dataBar>
        <cfvo type="min"/>
        <cfvo type="max"/>
        <color rgb="FF628DC4"/>
      </dataBar>
    </cfRule>
  </conditionalFormatting>
  <conditionalFormatting sqref="AH98:AH108">
    <cfRule type="dataBar" priority="355">
      <dataBar>
        <cfvo type="min"/>
        <cfvo type="max"/>
        <color rgb="FF628DC4"/>
      </dataBar>
    </cfRule>
  </conditionalFormatting>
  <conditionalFormatting sqref="AH114:AH120">
    <cfRule type="dataBar" priority="421">
      <dataBar>
        <cfvo type="min"/>
        <cfvo type="max"/>
        <color rgb="FF628DC4"/>
      </dataBar>
    </cfRule>
  </conditionalFormatting>
  <conditionalFormatting sqref="AH126:AH130">
    <cfRule type="dataBar" priority="487">
      <dataBar>
        <cfvo type="min"/>
        <cfvo type="max"/>
        <color rgb="FF628DC4"/>
      </dataBar>
    </cfRule>
  </conditionalFormatting>
  <conditionalFormatting sqref="AH136:AH142">
    <cfRule type="dataBar" priority="553">
      <dataBar>
        <cfvo type="min"/>
        <cfvo type="max"/>
        <color rgb="FF628DC4"/>
      </dataBar>
    </cfRule>
  </conditionalFormatting>
  <conditionalFormatting sqref="AH148:AH154">
    <cfRule type="dataBar" priority="619">
      <dataBar>
        <cfvo type="min"/>
        <cfvo type="max"/>
        <color rgb="FF628DC4"/>
      </dataBar>
    </cfRule>
  </conditionalFormatting>
  <conditionalFormatting sqref="AH160:AH237">
    <cfRule type="dataBar" priority="685">
      <dataBar>
        <cfvo type="min"/>
        <cfvo type="max"/>
        <color rgb="FF628DC4"/>
      </dataBar>
    </cfRule>
  </conditionalFormatting>
  <conditionalFormatting sqref="AH243:AH320">
    <cfRule type="dataBar" priority="751">
      <dataBar>
        <cfvo type="min"/>
        <cfvo type="max"/>
        <color rgb="FF628DC4"/>
      </dataBar>
    </cfRule>
  </conditionalFormatting>
  <conditionalFormatting sqref="AH326:AH329">
    <cfRule type="dataBar" priority="817">
      <dataBar>
        <cfvo type="min"/>
        <cfvo type="max"/>
        <color rgb="FF628DC4"/>
      </dataBar>
    </cfRule>
  </conditionalFormatting>
  <conditionalFormatting sqref="AH335:AH341">
    <cfRule type="dataBar" priority="883">
      <dataBar>
        <cfvo type="min"/>
        <cfvo type="max"/>
        <color rgb="FF628DC4"/>
      </dataBar>
    </cfRule>
  </conditionalFormatting>
  <conditionalFormatting sqref="AH347:AH351">
    <cfRule type="dataBar" priority="949">
      <dataBar>
        <cfvo type="min"/>
        <cfvo type="max"/>
        <color rgb="FF628DC4"/>
      </dataBar>
    </cfRule>
  </conditionalFormatting>
  <conditionalFormatting sqref="AH357:AH360">
    <cfRule type="dataBar" priority="1015">
      <dataBar>
        <cfvo type="min"/>
        <cfvo type="max"/>
        <color rgb="FF628DC4"/>
      </dataBar>
    </cfRule>
  </conditionalFormatting>
  <conditionalFormatting sqref="AH366:AH372">
    <cfRule type="dataBar" priority="1081">
      <dataBar>
        <cfvo type="min"/>
        <cfvo type="max"/>
        <color rgb="FF628DC4"/>
      </dataBar>
    </cfRule>
  </conditionalFormatting>
  <conditionalFormatting sqref="AH378:AH382">
    <cfRule type="dataBar" priority="1147">
      <dataBar>
        <cfvo type="min"/>
        <cfvo type="max"/>
        <color rgb="FF628DC4"/>
      </dataBar>
    </cfRule>
  </conditionalFormatting>
  <conditionalFormatting sqref="AH388:AH391">
    <cfRule type="dataBar" priority="1213">
      <dataBar>
        <cfvo type="min"/>
        <cfvo type="max"/>
        <color rgb="FF628DC4"/>
      </dataBar>
    </cfRule>
  </conditionalFormatting>
  <conditionalFormatting sqref="AH397:AH403">
    <cfRule type="dataBar" priority="1279">
      <dataBar>
        <cfvo type="min"/>
        <cfvo type="max"/>
        <color rgb="FF628DC4"/>
      </dataBar>
    </cfRule>
  </conditionalFormatting>
  <conditionalFormatting sqref="AH409:AH413">
    <cfRule type="dataBar" priority="1345">
      <dataBar>
        <cfvo type="min"/>
        <cfvo type="max"/>
        <color rgb="FF628DC4"/>
      </dataBar>
    </cfRule>
  </conditionalFormatting>
  <conditionalFormatting sqref="AH419:AH422">
    <cfRule type="dataBar" priority="1411">
      <dataBar>
        <cfvo type="min"/>
        <cfvo type="max"/>
        <color rgb="FF628DC4"/>
      </dataBar>
    </cfRule>
  </conditionalFormatting>
  <conditionalFormatting sqref="AH428:AH434">
    <cfRule type="dataBar" priority="1477">
      <dataBar>
        <cfvo type="min"/>
        <cfvo type="max"/>
        <color rgb="FF628DC4"/>
      </dataBar>
    </cfRule>
  </conditionalFormatting>
  <conditionalFormatting sqref="AH440:AH444">
    <cfRule type="dataBar" priority="1543">
      <dataBar>
        <cfvo type="min"/>
        <cfvo type="max"/>
        <color rgb="FF628DC4"/>
      </dataBar>
    </cfRule>
  </conditionalFormatting>
  <conditionalFormatting sqref="AH450:AH453">
    <cfRule type="dataBar" priority="1609">
      <dataBar>
        <cfvo type="min"/>
        <cfvo type="max"/>
        <color rgb="FF628DC4"/>
      </dataBar>
    </cfRule>
  </conditionalFormatting>
  <conditionalFormatting sqref="AH459:AH465">
    <cfRule type="dataBar" priority="1675">
      <dataBar>
        <cfvo type="min"/>
        <cfvo type="max"/>
        <color rgb="FF628DC4"/>
      </dataBar>
    </cfRule>
  </conditionalFormatting>
  <conditionalFormatting sqref="AH471:AH475">
    <cfRule type="dataBar" priority="1741">
      <dataBar>
        <cfvo type="min"/>
        <cfvo type="max"/>
        <color rgb="FF628DC4"/>
      </dataBar>
    </cfRule>
  </conditionalFormatting>
  <conditionalFormatting sqref="AH481:AH483">
    <cfRule type="dataBar" priority="1807">
      <dataBar>
        <cfvo type="min"/>
        <cfvo type="max"/>
        <color rgb="FF628DC4"/>
      </dataBar>
    </cfRule>
  </conditionalFormatting>
  <conditionalFormatting sqref="AH489:AH600">
    <cfRule type="dataBar" priority="1873">
      <dataBar>
        <cfvo type="min"/>
        <cfvo type="max"/>
        <color rgb="FF628DC4"/>
      </dataBar>
    </cfRule>
  </conditionalFormatting>
  <conditionalFormatting sqref="AH606:AH613">
    <cfRule type="dataBar" priority="1939">
      <dataBar>
        <cfvo type="min"/>
        <cfvo type="max"/>
        <color rgb="FF628DC4"/>
      </dataBar>
    </cfRule>
  </conditionalFormatting>
  <conditionalFormatting sqref="AH619:AH626">
    <cfRule type="dataBar" priority="2005">
      <dataBar>
        <cfvo type="min"/>
        <cfvo type="max"/>
        <color rgb="FF628DC4"/>
      </dataBar>
    </cfRule>
  </conditionalFormatting>
  <conditionalFormatting sqref="AI6:AI8">
    <cfRule type="dataBar" priority="26">
      <dataBar>
        <cfvo type="min"/>
        <cfvo type="max"/>
        <color rgb="FFFFB628"/>
      </dataBar>
    </cfRule>
  </conditionalFormatting>
  <conditionalFormatting sqref="AI14:AI19">
    <cfRule type="dataBar" priority="92">
      <dataBar>
        <cfvo type="min"/>
        <cfvo type="max"/>
        <color rgb="FFFFB628"/>
      </dataBar>
    </cfRule>
  </conditionalFormatting>
  <conditionalFormatting sqref="AI25:AI75">
    <cfRule type="dataBar" priority="158">
      <dataBar>
        <cfvo type="min"/>
        <cfvo type="max"/>
        <color rgb="FFFFB628"/>
      </dataBar>
    </cfRule>
  </conditionalFormatting>
  <conditionalFormatting sqref="AI81:AI83">
    <cfRule type="dataBar" priority="224">
      <dataBar>
        <cfvo type="min"/>
        <cfvo type="max"/>
        <color rgb="FFFFB628"/>
      </dataBar>
    </cfRule>
  </conditionalFormatting>
  <conditionalFormatting sqref="AI89:AI92">
    <cfRule type="dataBar" priority="290">
      <dataBar>
        <cfvo type="min"/>
        <cfvo type="max"/>
        <color rgb="FFFFB628"/>
      </dataBar>
    </cfRule>
  </conditionalFormatting>
  <conditionalFormatting sqref="AI98:AI108">
    <cfRule type="dataBar" priority="356">
      <dataBar>
        <cfvo type="min"/>
        <cfvo type="max"/>
        <color rgb="FFFFB628"/>
      </dataBar>
    </cfRule>
  </conditionalFormatting>
  <conditionalFormatting sqref="AI114:AI120">
    <cfRule type="dataBar" priority="422">
      <dataBar>
        <cfvo type="min"/>
        <cfvo type="max"/>
        <color rgb="FFFFB628"/>
      </dataBar>
    </cfRule>
  </conditionalFormatting>
  <conditionalFormatting sqref="AI126:AI130">
    <cfRule type="dataBar" priority="488">
      <dataBar>
        <cfvo type="min"/>
        <cfvo type="max"/>
        <color rgb="FFFFB628"/>
      </dataBar>
    </cfRule>
  </conditionalFormatting>
  <conditionalFormatting sqref="AI136:AI142">
    <cfRule type="dataBar" priority="554">
      <dataBar>
        <cfvo type="min"/>
        <cfvo type="max"/>
        <color rgb="FFFFB628"/>
      </dataBar>
    </cfRule>
  </conditionalFormatting>
  <conditionalFormatting sqref="AI148:AI154">
    <cfRule type="dataBar" priority="620">
      <dataBar>
        <cfvo type="min"/>
        <cfvo type="max"/>
        <color rgb="FFFFB628"/>
      </dataBar>
    </cfRule>
  </conditionalFormatting>
  <conditionalFormatting sqref="AI160:AI237">
    <cfRule type="dataBar" priority="686">
      <dataBar>
        <cfvo type="min"/>
        <cfvo type="max"/>
        <color rgb="FFFFB628"/>
      </dataBar>
    </cfRule>
  </conditionalFormatting>
  <conditionalFormatting sqref="AI243:AI320">
    <cfRule type="dataBar" priority="752">
      <dataBar>
        <cfvo type="min"/>
        <cfvo type="max"/>
        <color rgb="FFFFB628"/>
      </dataBar>
    </cfRule>
  </conditionalFormatting>
  <conditionalFormatting sqref="AI326:AI329">
    <cfRule type="dataBar" priority="818">
      <dataBar>
        <cfvo type="min"/>
        <cfvo type="max"/>
        <color rgb="FFFFB628"/>
      </dataBar>
    </cfRule>
  </conditionalFormatting>
  <conditionalFormatting sqref="AI335:AI341">
    <cfRule type="dataBar" priority="884">
      <dataBar>
        <cfvo type="min"/>
        <cfvo type="max"/>
        <color rgb="FFFFB628"/>
      </dataBar>
    </cfRule>
  </conditionalFormatting>
  <conditionalFormatting sqref="AI347:AI351">
    <cfRule type="dataBar" priority="950">
      <dataBar>
        <cfvo type="min"/>
        <cfvo type="max"/>
        <color rgb="FFFFB628"/>
      </dataBar>
    </cfRule>
  </conditionalFormatting>
  <conditionalFormatting sqref="AI357:AI360">
    <cfRule type="dataBar" priority="1016">
      <dataBar>
        <cfvo type="min"/>
        <cfvo type="max"/>
        <color rgb="FFFFB628"/>
      </dataBar>
    </cfRule>
  </conditionalFormatting>
  <conditionalFormatting sqref="AI366:AI372">
    <cfRule type="dataBar" priority="1082">
      <dataBar>
        <cfvo type="min"/>
        <cfvo type="max"/>
        <color rgb="FFFFB628"/>
      </dataBar>
    </cfRule>
  </conditionalFormatting>
  <conditionalFormatting sqref="AI378:AI382">
    <cfRule type="dataBar" priority="1148">
      <dataBar>
        <cfvo type="min"/>
        <cfvo type="max"/>
        <color rgb="FFFFB628"/>
      </dataBar>
    </cfRule>
  </conditionalFormatting>
  <conditionalFormatting sqref="AI388:AI391">
    <cfRule type="dataBar" priority="1214">
      <dataBar>
        <cfvo type="min"/>
        <cfvo type="max"/>
        <color rgb="FFFFB628"/>
      </dataBar>
    </cfRule>
  </conditionalFormatting>
  <conditionalFormatting sqref="AI397:AI403">
    <cfRule type="dataBar" priority="1280">
      <dataBar>
        <cfvo type="min"/>
        <cfvo type="max"/>
        <color rgb="FFFFB628"/>
      </dataBar>
    </cfRule>
  </conditionalFormatting>
  <conditionalFormatting sqref="AI409:AI413">
    <cfRule type="dataBar" priority="1346">
      <dataBar>
        <cfvo type="min"/>
        <cfvo type="max"/>
        <color rgb="FFFFB628"/>
      </dataBar>
    </cfRule>
  </conditionalFormatting>
  <conditionalFormatting sqref="AI419:AI422">
    <cfRule type="dataBar" priority="1412">
      <dataBar>
        <cfvo type="min"/>
        <cfvo type="max"/>
        <color rgb="FFFFB628"/>
      </dataBar>
    </cfRule>
  </conditionalFormatting>
  <conditionalFormatting sqref="AI428:AI434">
    <cfRule type="dataBar" priority="1478">
      <dataBar>
        <cfvo type="min"/>
        <cfvo type="max"/>
        <color rgb="FFFFB628"/>
      </dataBar>
    </cfRule>
  </conditionalFormatting>
  <conditionalFormatting sqref="AI440:AI444">
    <cfRule type="dataBar" priority="1544">
      <dataBar>
        <cfvo type="min"/>
        <cfvo type="max"/>
        <color rgb="FFFFB628"/>
      </dataBar>
    </cfRule>
  </conditionalFormatting>
  <conditionalFormatting sqref="AI450:AI453">
    <cfRule type="dataBar" priority="1610">
      <dataBar>
        <cfvo type="min"/>
        <cfvo type="max"/>
        <color rgb="FFFFB628"/>
      </dataBar>
    </cfRule>
  </conditionalFormatting>
  <conditionalFormatting sqref="AI459:AI465">
    <cfRule type="dataBar" priority="1676">
      <dataBar>
        <cfvo type="min"/>
        <cfvo type="max"/>
        <color rgb="FFFFB628"/>
      </dataBar>
    </cfRule>
  </conditionalFormatting>
  <conditionalFormatting sqref="AI471:AI475">
    <cfRule type="dataBar" priority="1742">
      <dataBar>
        <cfvo type="min"/>
        <cfvo type="max"/>
        <color rgb="FFFFB628"/>
      </dataBar>
    </cfRule>
  </conditionalFormatting>
  <conditionalFormatting sqref="AI481:AI483">
    <cfRule type="dataBar" priority="1808">
      <dataBar>
        <cfvo type="min"/>
        <cfvo type="max"/>
        <color rgb="FFFFB628"/>
      </dataBar>
    </cfRule>
  </conditionalFormatting>
  <conditionalFormatting sqref="AI489:AI600">
    <cfRule type="dataBar" priority="1874">
      <dataBar>
        <cfvo type="min"/>
        <cfvo type="max"/>
        <color rgb="FFFFB628"/>
      </dataBar>
    </cfRule>
  </conditionalFormatting>
  <conditionalFormatting sqref="AI606:AI613">
    <cfRule type="dataBar" priority="1940">
      <dataBar>
        <cfvo type="min"/>
        <cfvo type="max"/>
        <color rgb="FFFFB628"/>
      </dataBar>
    </cfRule>
  </conditionalFormatting>
  <conditionalFormatting sqref="AI619:AI626">
    <cfRule type="dataBar" priority="2006">
      <dataBar>
        <cfvo type="min"/>
        <cfvo type="max"/>
        <color rgb="FFFFB628"/>
      </dataBar>
    </cfRule>
  </conditionalFormatting>
  <conditionalFormatting sqref="AJ6:AJ8">
    <cfRule type="dataBar" priority="27">
      <dataBar>
        <cfvo type="min"/>
        <cfvo type="max"/>
        <color rgb="FFF08D5B"/>
      </dataBar>
    </cfRule>
  </conditionalFormatting>
  <conditionalFormatting sqref="AJ14:AJ19">
    <cfRule type="dataBar" priority="93">
      <dataBar>
        <cfvo type="min"/>
        <cfvo type="max"/>
        <color rgb="FFF08D5B"/>
      </dataBar>
    </cfRule>
  </conditionalFormatting>
  <conditionalFormatting sqref="AJ25:AJ75">
    <cfRule type="dataBar" priority="159">
      <dataBar>
        <cfvo type="min"/>
        <cfvo type="max"/>
        <color rgb="FFF08D5B"/>
      </dataBar>
    </cfRule>
  </conditionalFormatting>
  <conditionalFormatting sqref="AJ81:AJ83">
    <cfRule type="dataBar" priority="225">
      <dataBar>
        <cfvo type="min"/>
        <cfvo type="max"/>
        <color rgb="FFF08D5B"/>
      </dataBar>
    </cfRule>
  </conditionalFormatting>
  <conditionalFormatting sqref="AJ89:AJ92">
    <cfRule type="dataBar" priority="291">
      <dataBar>
        <cfvo type="min"/>
        <cfvo type="max"/>
        <color rgb="FFF08D5B"/>
      </dataBar>
    </cfRule>
  </conditionalFormatting>
  <conditionalFormatting sqref="AJ98:AJ108">
    <cfRule type="dataBar" priority="357">
      <dataBar>
        <cfvo type="min"/>
        <cfvo type="max"/>
        <color rgb="FFF08D5B"/>
      </dataBar>
    </cfRule>
  </conditionalFormatting>
  <conditionalFormatting sqref="AJ114:AJ120">
    <cfRule type="dataBar" priority="423">
      <dataBar>
        <cfvo type="min"/>
        <cfvo type="max"/>
        <color rgb="FFF08D5B"/>
      </dataBar>
    </cfRule>
  </conditionalFormatting>
  <conditionalFormatting sqref="AJ126:AJ130">
    <cfRule type="dataBar" priority="489">
      <dataBar>
        <cfvo type="min"/>
        <cfvo type="max"/>
        <color rgb="FFF08D5B"/>
      </dataBar>
    </cfRule>
  </conditionalFormatting>
  <conditionalFormatting sqref="AJ136:AJ142">
    <cfRule type="dataBar" priority="555">
      <dataBar>
        <cfvo type="min"/>
        <cfvo type="max"/>
        <color rgb="FFF08D5B"/>
      </dataBar>
    </cfRule>
  </conditionalFormatting>
  <conditionalFormatting sqref="AJ148:AJ154">
    <cfRule type="dataBar" priority="621">
      <dataBar>
        <cfvo type="min"/>
        <cfvo type="max"/>
        <color rgb="FFF08D5B"/>
      </dataBar>
    </cfRule>
  </conditionalFormatting>
  <conditionalFormatting sqref="AJ160:AJ237">
    <cfRule type="dataBar" priority="687">
      <dataBar>
        <cfvo type="min"/>
        <cfvo type="max"/>
        <color rgb="FFF08D5B"/>
      </dataBar>
    </cfRule>
  </conditionalFormatting>
  <conditionalFormatting sqref="AJ243:AJ320">
    <cfRule type="dataBar" priority="753">
      <dataBar>
        <cfvo type="min"/>
        <cfvo type="max"/>
        <color rgb="FFF08D5B"/>
      </dataBar>
    </cfRule>
  </conditionalFormatting>
  <conditionalFormatting sqref="AJ326:AJ329">
    <cfRule type="dataBar" priority="819">
      <dataBar>
        <cfvo type="min"/>
        <cfvo type="max"/>
        <color rgb="FFF08D5B"/>
      </dataBar>
    </cfRule>
  </conditionalFormatting>
  <conditionalFormatting sqref="AJ335:AJ341">
    <cfRule type="dataBar" priority="885">
      <dataBar>
        <cfvo type="min"/>
        <cfvo type="max"/>
        <color rgb="FFF08D5B"/>
      </dataBar>
    </cfRule>
  </conditionalFormatting>
  <conditionalFormatting sqref="AJ347:AJ351">
    <cfRule type="dataBar" priority="951">
      <dataBar>
        <cfvo type="min"/>
        <cfvo type="max"/>
        <color rgb="FFF08D5B"/>
      </dataBar>
    </cfRule>
  </conditionalFormatting>
  <conditionalFormatting sqref="AJ357:AJ360">
    <cfRule type="dataBar" priority="1017">
      <dataBar>
        <cfvo type="min"/>
        <cfvo type="max"/>
        <color rgb="FFF08D5B"/>
      </dataBar>
    </cfRule>
  </conditionalFormatting>
  <conditionalFormatting sqref="AJ366:AJ372">
    <cfRule type="dataBar" priority="1083">
      <dataBar>
        <cfvo type="min"/>
        <cfvo type="max"/>
        <color rgb="FFF08D5B"/>
      </dataBar>
    </cfRule>
  </conditionalFormatting>
  <conditionalFormatting sqref="AJ378:AJ382">
    <cfRule type="dataBar" priority="1149">
      <dataBar>
        <cfvo type="min"/>
        <cfvo type="max"/>
        <color rgb="FFF08D5B"/>
      </dataBar>
    </cfRule>
  </conditionalFormatting>
  <conditionalFormatting sqref="AJ388:AJ391">
    <cfRule type="dataBar" priority="1215">
      <dataBar>
        <cfvo type="min"/>
        <cfvo type="max"/>
        <color rgb="FFF08D5B"/>
      </dataBar>
    </cfRule>
  </conditionalFormatting>
  <conditionalFormatting sqref="AJ397:AJ403">
    <cfRule type="dataBar" priority="1281">
      <dataBar>
        <cfvo type="min"/>
        <cfvo type="max"/>
        <color rgb="FFF08D5B"/>
      </dataBar>
    </cfRule>
  </conditionalFormatting>
  <conditionalFormatting sqref="AJ409:AJ413">
    <cfRule type="dataBar" priority="1347">
      <dataBar>
        <cfvo type="min"/>
        <cfvo type="max"/>
        <color rgb="FFF08D5B"/>
      </dataBar>
    </cfRule>
  </conditionalFormatting>
  <conditionalFormatting sqref="AJ419:AJ422">
    <cfRule type="dataBar" priority="1413">
      <dataBar>
        <cfvo type="min"/>
        <cfvo type="max"/>
        <color rgb="FFF08D5B"/>
      </dataBar>
    </cfRule>
  </conditionalFormatting>
  <conditionalFormatting sqref="AJ428:AJ434">
    <cfRule type="dataBar" priority="1479">
      <dataBar>
        <cfvo type="min"/>
        <cfvo type="max"/>
        <color rgb="FFF08D5B"/>
      </dataBar>
    </cfRule>
  </conditionalFormatting>
  <conditionalFormatting sqref="AJ440:AJ444">
    <cfRule type="dataBar" priority="1545">
      <dataBar>
        <cfvo type="min"/>
        <cfvo type="max"/>
        <color rgb="FFF08D5B"/>
      </dataBar>
    </cfRule>
  </conditionalFormatting>
  <conditionalFormatting sqref="AJ450:AJ453">
    <cfRule type="dataBar" priority="1611">
      <dataBar>
        <cfvo type="min"/>
        <cfvo type="max"/>
        <color rgb="FFF08D5B"/>
      </dataBar>
    </cfRule>
  </conditionalFormatting>
  <conditionalFormatting sqref="AJ459:AJ465">
    <cfRule type="dataBar" priority="1677">
      <dataBar>
        <cfvo type="min"/>
        <cfvo type="max"/>
        <color rgb="FFF08D5B"/>
      </dataBar>
    </cfRule>
  </conditionalFormatting>
  <conditionalFormatting sqref="AJ471:AJ475">
    <cfRule type="dataBar" priority="1743">
      <dataBar>
        <cfvo type="min"/>
        <cfvo type="max"/>
        <color rgb="FFF08D5B"/>
      </dataBar>
    </cfRule>
  </conditionalFormatting>
  <conditionalFormatting sqref="AJ481:AJ483">
    <cfRule type="dataBar" priority="1809">
      <dataBar>
        <cfvo type="min"/>
        <cfvo type="max"/>
        <color rgb="FFF08D5B"/>
      </dataBar>
    </cfRule>
  </conditionalFormatting>
  <conditionalFormatting sqref="AJ489:AJ600">
    <cfRule type="dataBar" priority="1875">
      <dataBar>
        <cfvo type="min"/>
        <cfvo type="max"/>
        <color rgb="FFF08D5B"/>
      </dataBar>
    </cfRule>
  </conditionalFormatting>
  <conditionalFormatting sqref="AJ606:AJ613">
    <cfRule type="dataBar" priority="1941">
      <dataBar>
        <cfvo type="min"/>
        <cfvo type="max"/>
        <color rgb="FFF08D5B"/>
      </dataBar>
    </cfRule>
  </conditionalFormatting>
  <conditionalFormatting sqref="AJ619:AJ626">
    <cfRule type="dataBar" priority="2007">
      <dataBar>
        <cfvo type="min"/>
        <cfvo type="max"/>
        <color rgb="FFF08D5B"/>
      </dataBar>
    </cfRule>
  </conditionalFormatting>
  <conditionalFormatting sqref="AL6:AL8">
    <cfRule type="dataBar" priority="28">
      <dataBar>
        <cfvo type="min"/>
        <cfvo type="max"/>
        <color rgb="FF628DC4"/>
      </dataBar>
    </cfRule>
  </conditionalFormatting>
  <conditionalFormatting sqref="AL14:AL19">
    <cfRule type="dataBar" priority="94">
      <dataBar>
        <cfvo type="min"/>
        <cfvo type="max"/>
        <color rgb="FF628DC4"/>
      </dataBar>
    </cfRule>
  </conditionalFormatting>
  <conditionalFormatting sqref="AL25:AL75">
    <cfRule type="dataBar" priority="160">
      <dataBar>
        <cfvo type="min"/>
        <cfvo type="max"/>
        <color rgb="FF628DC4"/>
      </dataBar>
    </cfRule>
  </conditionalFormatting>
  <conditionalFormatting sqref="AL81:AL83">
    <cfRule type="dataBar" priority="226">
      <dataBar>
        <cfvo type="min"/>
        <cfvo type="max"/>
        <color rgb="FF628DC4"/>
      </dataBar>
    </cfRule>
  </conditionalFormatting>
  <conditionalFormatting sqref="AL89:AL92">
    <cfRule type="dataBar" priority="292">
      <dataBar>
        <cfvo type="min"/>
        <cfvo type="max"/>
        <color rgb="FF628DC4"/>
      </dataBar>
    </cfRule>
  </conditionalFormatting>
  <conditionalFormatting sqref="AL98:AL108">
    <cfRule type="dataBar" priority="358">
      <dataBar>
        <cfvo type="min"/>
        <cfvo type="max"/>
        <color rgb="FF628DC4"/>
      </dataBar>
    </cfRule>
  </conditionalFormatting>
  <conditionalFormatting sqref="AL114:AL120">
    <cfRule type="dataBar" priority="424">
      <dataBar>
        <cfvo type="min"/>
        <cfvo type="max"/>
        <color rgb="FF628DC4"/>
      </dataBar>
    </cfRule>
  </conditionalFormatting>
  <conditionalFormatting sqref="AL126:AL130">
    <cfRule type="dataBar" priority="490">
      <dataBar>
        <cfvo type="min"/>
        <cfvo type="max"/>
        <color rgb="FF628DC4"/>
      </dataBar>
    </cfRule>
  </conditionalFormatting>
  <conditionalFormatting sqref="AL136:AL142">
    <cfRule type="dataBar" priority="556">
      <dataBar>
        <cfvo type="min"/>
        <cfvo type="max"/>
        <color rgb="FF628DC4"/>
      </dataBar>
    </cfRule>
  </conditionalFormatting>
  <conditionalFormatting sqref="AL148:AL154">
    <cfRule type="dataBar" priority="622">
      <dataBar>
        <cfvo type="min"/>
        <cfvo type="max"/>
        <color rgb="FF628DC4"/>
      </dataBar>
    </cfRule>
  </conditionalFormatting>
  <conditionalFormatting sqref="AL160:AL237">
    <cfRule type="dataBar" priority="688">
      <dataBar>
        <cfvo type="min"/>
        <cfvo type="max"/>
        <color rgb="FF628DC4"/>
      </dataBar>
    </cfRule>
  </conditionalFormatting>
  <conditionalFormatting sqref="AL243:AL320">
    <cfRule type="dataBar" priority="754">
      <dataBar>
        <cfvo type="min"/>
        <cfvo type="max"/>
        <color rgb="FF628DC4"/>
      </dataBar>
    </cfRule>
  </conditionalFormatting>
  <conditionalFormatting sqref="AL326:AL329">
    <cfRule type="dataBar" priority="820">
      <dataBar>
        <cfvo type="min"/>
        <cfvo type="max"/>
        <color rgb="FF628DC4"/>
      </dataBar>
    </cfRule>
  </conditionalFormatting>
  <conditionalFormatting sqref="AL335:AL341">
    <cfRule type="dataBar" priority="886">
      <dataBar>
        <cfvo type="min"/>
        <cfvo type="max"/>
        <color rgb="FF628DC4"/>
      </dataBar>
    </cfRule>
  </conditionalFormatting>
  <conditionalFormatting sqref="AL347:AL351">
    <cfRule type="dataBar" priority="952">
      <dataBar>
        <cfvo type="min"/>
        <cfvo type="max"/>
        <color rgb="FF628DC4"/>
      </dataBar>
    </cfRule>
  </conditionalFormatting>
  <conditionalFormatting sqref="AL357:AL360">
    <cfRule type="dataBar" priority="1018">
      <dataBar>
        <cfvo type="min"/>
        <cfvo type="max"/>
        <color rgb="FF628DC4"/>
      </dataBar>
    </cfRule>
  </conditionalFormatting>
  <conditionalFormatting sqref="AL366:AL372">
    <cfRule type="dataBar" priority="1084">
      <dataBar>
        <cfvo type="min"/>
        <cfvo type="max"/>
        <color rgb="FF628DC4"/>
      </dataBar>
    </cfRule>
  </conditionalFormatting>
  <conditionalFormatting sqref="AL378:AL382">
    <cfRule type="dataBar" priority="1150">
      <dataBar>
        <cfvo type="min"/>
        <cfvo type="max"/>
        <color rgb="FF628DC4"/>
      </dataBar>
    </cfRule>
  </conditionalFormatting>
  <conditionalFormatting sqref="AL388:AL391">
    <cfRule type="dataBar" priority="1216">
      <dataBar>
        <cfvo type="min"/>
        <cfvo type="max"/>
        <color rgb="FF628DC4"/>
      </dataBar>
    </cfRule>
  </conditionalFormatting>
  <conditionalFormatting sqref="AL397:AL403">
    <cfRule type="dataBar" priority="1282">
      <dataBar>
        <cfvo type="min"/>
        <cfvo type="max"/>
        <color rgb="FF628DC4"/>
      </dataBar>
    </cfRule>
  </conditionalFormatting>
  <conditionalFormatting sqref="AL409:AL413">
    <cfRule type="dataBar" priority="1348">
      <dataBar>
        <cfvo type="min"/>
        <cfvo type="max"/>
        <color rgb="FF628DC4"/>
      </dataBar>
    </cfRule>
  </conditionalFormatting>
  <conditionalFormatting sqref="AL419:AL422">
    <cfRule type="dataBar" priority="1414">
      <dataBar>
        <cfvo type="min"/>
        <cfvo type="max"/>
        <color rgb="FF628DC4"/>
      </dataBar>
    </cfRule>
  </conditionalFormatting>
  <conditionalFormatting sqref="AL428:AL434">
    <cfRule type="dataBar" priority="1480">
      <dataBar>
        <cfvo type="min"/>
        <cfvo type="max"/>
        <color rgb="FF628DC4"/>
      </dataBar>
    </cfRule>
  </conditionalFormatting>
  <conditionalFormatting sqref="AL440:AL444">
    <cfRule type="dataBar" priority="1546">
      <dataBar>
        <cfvo type="min"/>
        <cfvo type="max"/>
        <color rgb="FF628DC4"/>
      </dataBar>
    </cfRule>
  </conditionalFormatting>
  <conditionalFormatting sqref="AL450:AL453">
    <cfRule type="dataBar" priority="1612">
      <dataBar>
        <cfvo type="min"/>
        <cfvo type="max"/>
        <color rgb="FF628DC4"/>
      </dataBar>
    </cfRule>
  </conditionalFormatting>
  <conditionalFormatting sqref="AL459:AL465">
    <cfRule type="dataBar" priority="1678">
      <dataBar>
        <cfvo type="min"/>
        <cfvo type="max"/>
        <color rgb="FF628DC4"/>
      </dataBar>
    </cfRule>
  </conditionalFormatting>
  <conditionalFormatting sqref="AL471:AL475">
    <cfRule type="dataBar" priority="1744">
      <dataBar>
        <cfvo type="min"/>
        <cfvo type="max"/>
        <color rgb="FF628DC4"/>
      </dataBar>
    </cfRule>
  </conditionalFormatting>
  <conditionalFormatting sqref="AL481:AL483">
    <cfRule type="dataBar" priority="1810">
      <dataBar>
        <cfvo type="min"/>
        <cfvo type="max"/>
        <color rgb="FF628DC4"/>
      </dataBar>
    </cfRule>
  </conditionalFormatting>
  <conditionalFormatting sqref="AL489:AL600">
    <cfRule type="dataBar" priority="1876">
      <dataBar>
        <cfvo type="min"/>
        <cfvo type="max"/>
        <color rgb="FF628DC4"/>
      </dataBar>
    </cfRule>
  </conditionalFormatting>
  <conditionalFormatting sqref="AL606:AL613">
    <cfRule type="dataBar" priority="1942">
      <dataBar>
        <cfvo type="min"/>
        <cfvo type="max"/>
        <color rgb="FF628DC4"/>
      </dataBar>
    </cfRule>
  </conditionalFormatting>
  <conditionalFormatting sqref="AL619:AL626">
    <cfRule type="dataBar" priority="2008">
      <dataBar>
        <cfvo type="min"/>
        <cfvo type="max"/>
        <color rgb="FF628DC4"/>
      </dataBar>
    </cfRule>
  </conditionalFormatting>
  <conditionalFormatting sqref="AM6:AM8">
    <cfRule type="dataBar" priority="29">
      <dataBar>
        <cfvo type="min"/>
        <cfvo type="max"/>
        <color rgb="FFFFB628"/>
      </dataBar>
    </cfRule>
  </conditionalFormatting>
  <conditionalFormatting sqref="AM14:AM19">
    <cfRule type="dataBar" priority="95">
      <dataBar>
        <cfvo type="min"/>
        <cfvo type="max"/>
        <color rgb="FFFFB628"/>
      </dataBar>
    </cfRule>
  </conditionalFormatting>
  <conditionalFormatting sqref="AM25:AM75">
    <cfRule type="dataBar" priority="161">
      <dataBar>
        <cfvo type="min"/>
        <cfvo type="max"/>
        <color rgb="FFFFB628"/>
      </dataBar>
    </cfRule>
  </conditionalFormatting>
  <conditionalFormatting sqref="AM81:AM83">
    <cfRule type="dataBar" priority="227">
      <dataBar>
        <cfvo type="min"/>
        <cfvo type="max"/>
        <color rgb="FFFFB628"/>
      </dataBar>
    </cfRule>
  </conditionalFormatting>
  <conditionalFormatting sqref="AM89:AM92">
    <cfRule type="dataBar" priority="293">
      <dataBar>
        <cfvo type="min"/>
        <cfvo type="max"/>
        <color rgb="FFFFB628"/>
      </dataBar>
    </cfRule>
  </conditionalFormatting>
  <conditionalFormatting sqref="AM98:AM108">
    <cfRule type="dataBar" priority="359">
      <dataBar>
        <cfvo type="min"/>
        <cfvo type="max"/>
        <color rgb="FFFFB628"/>
      </dataBar>
    </cfRule>
  </conditionalFormatting>
  <conditionalFormatting sqref="AM114:AM120">
    <cfRule type="dataBar" priority="425">
      <dataBar>
        <cfvo type="min"/>
        <cfvo type="max"/>
        <color rgb="FFFFB628"/>
      </dataBar>
    </cfRule>
  </conditionalFormatting>
  <conditionalFormatting sqref="AM126:AM130">
    <cfRule type="dataBar" priority="491">
      <dataBar>
        <cfvo type="min"/>
        <cfvo type="max"/>
        <color rgb="FFFFB628"/>
      </dataBar>
    </cfRule>
  </conditionalFormatting>
  <conditionalFormatting sqref="AM136:AM142">
    <cfRule type="dataBar" priority="557">
      <dataBar>
        <cfvo type="min"/>
        <cfvo type="max"/>
        <color rgb="FFFFB628"/>
      </dataBar>
    </cfRule>
  </conditionalFormatting>
  <conditionalFormatting sqref="AM148:AM154">
    <cfRule type="dataBar" priority="623">
      <dataBar>
        <cfvo type="min"/>
        <cfvo type="max"/>
        <color rgb="FFFFB628"/>
      </dataBar>
    </cfRule>
  </conditionalFormatting>
  <conditionalFormatting sqref="AM160:AM237">
    <cfRule type="dataBar" priority="689">
      <dataBar>
        <cfvo type="min"/>
        <cfvo type="max"/>
        <color rgb="FFFFB628"/>
      </dataBar>
    </cfRule>
  </conditionalFormatting>
  <conditionalFormatting sqref="AM243:AM320">
    <cfRule type="dataBar" priority="755">
      <dataBar>
        <cfvo type="min"/>
        <cfvo type="max"/>
        <color rgb="FFFFB628"/>
      </dataBar>
    </cfRule>
  </conditionalFormatting>
  <conditionalFormatting sqref="AM326:AM329">
    <cfRule type="dataBar" priority="821">
      <dataBar>
        <cfvo type="min"/>
        <cfvo type="max"/>
        <color rgb="FFFFB628"/>
      </dataBar>
    </cfRule>
  </conditionalFormatting>
  <conditionalFormatting sqref="AM335:AM341">
    <cfRule type="dataBar" priority="887">
      <dataBar>
        <cfvo type="min"/>
        <cfvo type="max"/>
        <color rgb="FFFFB628"/>
      </dataBar>
    </cfRule>
  </conditionalFormatting>
  <conditionalFormatting sqref="AM347:AM351">
    <cfRule type="dataBar" priority="953">
      <dataBar>
        <cfvo type="min"/>
        <cfvo type="max"/>
        <color rgb="FFFFB628"/>
      </dataBar>
    </cfRule>
  </conditionalFormatting>
  <conditionalFormatting sqref="AM357:AM360">
    <cfRule type="dataBar" priority="1019">
      <dataBar>
        <cfvo type="min"/>
        <cfvo type="max"/>
        <color rgb="FFFFB628"/>
      </dataBar>
    </cfRule>
  </conditionalFormatting>
  <conditionalFormatting sqref="AM366:AM372">
    <cfRule type="dataBar" priority="1085">
      <dataBar>
        <cfvo type="min"/>
        <cfvo type="max"/>
        <color rgb="FFFFB628"/>
      </dataBar>
    </cfRule>
  </conditionalFormatting>
  <conditionalFormatting sqref="AM378:AM382">
    <cfRule type="dataBar" priority="1151">
      <dataBar>
        <cfvo type="min"/>
        <cfvo type="max"/>
        <color rgb="FFFFB628"/>
      </dataBar>
    </cfRule>
  </conditionalFormatting>
  <conditionalFormatting sqref="AM388:AM391">
    <cfRule type="dataBar" priority="1217">
      <dataBar>
        <cfvo type="min"/>
        <cfvo type="max"/>
        <color rgb="FFFFB628"/>
      </dataBar>
    </cfRule>
  </conditionalFormatting>
  <conditionalFormatting sqref="AM397:AM403">
    <cfRule type="dataBar" priority="1283">
      <dataBar>
        <cfvo type="min"/>
        <cfvo type="max"/>
        <color rgb="FFFFB628"/>
      </dataBar>
    </cfRule>
  </conditionalFormatting>
  <conditionalFormatting sqref="AM409:AM413">
    <cfRule type="dataBar" priority="1349">
      <dataBar>
        <cfvo type="min"/>
        <cfvo type="max"/>
        <color rgb="FFFFB628"/>
      </dataBar>
    </cfRule>
  </conditionalFormatting>
  <conditionalFormatting sqref="AM419:AM422">
    <cfRule type="dataBar" priority="1415">
      <dataBar>
        <cfvo type="min"/>
        <cfvo type="max"/>
        <color rgb="FFFFB628"/>
      </dataBar>
    </cfRule>
  </conditionalFormatting>
  <conditionalFormatting sqref="AM428:AM434">
    <cfRule type="dataBar" priority="1481">
      <dataBar>
        <cfvo type="min"/>
        <cfvo type="max"/>
        <color rgb="FFFFB628"/>
      </dataBar>
    </cfRule>
  </conditionalFormatting>
  <conditionalFormatting sqref="AM440:AM444">
    <cfRule type="dataBar" priority="1547">
      <dataBar>
        <cfvo type="min"/>
        <cfvo type="max"/>
        <color rgb="FFFFB628"/>
      </dataBar>
    </cfRule>
  </conditionalFormatting>
  <conditionalFormatting sqref="AM450:AM453">
    <cfRule type="dataBar" priority="1613">
      <dataBar>
        <cfvo type="min"/>
        <cfvo type="max"/>
        <color rgb="FFFFB628"/>
      </dataBar>
    </cfRule>
  </conditionalFormatting>
  <conditionalFormatting sqref="AM459:AM465">
    <cfRule type="dataBar" priority="1679">
      <dataBar>
        <cfvo type="min"/>
        <cfvo type="max"/>
        <color rgb="FFFFB628"/>
      </dataBar>
    </cfRule>
  </conditionalFormatting>
  <conditionalFormatting sqref="AM471:AM475">
    <cfRule type="dataBar" priority="1745">
      <dataBar>
        <cfvo type="min"/>
        <cfvo type="max"/>
        <color rgb="FFFFB628"/>
      </dataBar>
    </cfRule>
  </conditionalFormatting>
  <conditionalFormatting sqref="AM481:AM483">
    <cfRule type="dataBar" priority="1811">
      <dataBar>
        <cfvo type="min"/>
        <cfvo type="max"/>
        <color rgb="FFFFB628"/>
      </dataBar>
    </cfRule>
  </conditionalFormatting>
  <conditionalFormatting sqref="AM489:AM600">
    <cfRule type="dataBar" priority="1877">
      <dataBar>
        <cfvo type="min"/>
        <cfvo type="max"/>
        <color rgb="FFFFB628"/>
      </dataBar>
    </cfRule>
  </conditionalFormatting>
  <conditionalFormatting sqref="AM606:AM613">
    <cfRule type="dataBar" priority="1943">
      <dataBar>
        <cfvo type="min"/>
        <cfvo type="max"/>
        <color rgb="FFFFB628"/>
      </dataBar>
    </cfRule>
  </conditionalFormatting>
  <conditionalFormatting sqref="AM619:AM626">
    <cfRule type="dataBar" priority="2009">
      <dataBar>
        <cfvo type="min"/>
        <cfvo type="max"/>
        <color rgb="FFFFB628"/>
      </dataBar>
    </cfRule>
  </conditionalFormatting>
  <conditionalFormatting sqref="AN6:AN8">
    <cfRule type="dataBar" priority="30">
      <dataBar>
        <cfvo type="min"/>
        <cfvo type="max"/>
        <color rgb="FFF08D5B"/>
      </dataBar>
    </cfRule>
  </conditionalFormatting>
  <conditionalFormatting sqref="AN14:AN19">
    <cfRule type="dataBar" priority="96">
      <dataBar>
        <cfvo type="min"/>
        <cfvo type="max"/>
        <color rgb="FFF08D5B"/>
      </dataBar>
    </cfRule>
  </conditionalFormatting>
  <conditionalFormatting sqref="AN25:AN75">
    <cfRule type="dataBar" priority="162">
      <dataBar>
        <cfvo type="min"/>
        <cfvo type="max"/>
        <color rgb="FFF08D5B"/>
      </dataBar>
    </cfRule>
  </conditionalFormatting>
  <conditionalFormatting sqref="AN81:AN83">
    <cfRule type="dataBar" priority="228">
      <dataBar>
        <cfvo type="min"/>
        <cfvo type="max"/>
        <color rgb="FFF08D5B"/>
      </dataBar>
    </cfRule>
  </conditionalFormatting>
  <conditionalFormatting sqref="AN89:AN92">
    <cfRule type="dataBar" priority="294">
      <dataBar>
        <cfvo type="min"/>
        <cfvo type="max"/>
        <color rgb="FFF08D5B"/>
      </dataBar>
    </cfRule>
  </conditionalFormatting>
  <conditionalFormatting sqref="AN98:AN108">
    <cfRule type="dataBar" priority="360">
      <dataBar>
        <cfvo type="min"/>
        <cfvo type="max"/>
        <color rgb="FFF08D5B"/>
      </dataBar>
    </cfRule>
  </conditionalFormatting>
  <conditionalFormatting sqref="AN114:AN120">
    <cfRule type="dataBar" priority="426">
      <dataBar>
        <cfvo type="min"/>
        <cfvo type="max"/>
        <color rgb="FFF08D5B"/>
      </dataBar>
    </cfRule>
  </conditionalFormatting>
  <conditionalFormatting sqref="AN126:AN130">
    <cfRule type="dataBar" priority="492">
      <dataBar>
        <cfvo type="min"/>
        <cfvo type="max"/>
        <color rgb="FFF08D5B"/>
      </dataBar>
    </cfRule>
  </conditionalFormatting>
  <conditionalFormatting sqref="AN136:AN142">
    <cfRule type="dataBar" priority="558">
      <dataBar>
        <cfvo type="min"/>
        <cfvo type="max"/>
        <color rgb="FFF08D5B"/>
      </dataBar>
    </cfRule>
  </conditionalFormatting>
  <conditionalFormatting sqref="AN148:AN154">
    <cfRule type="dataBar" priority="624">
      <dataBar>
        <cfvo type="min"/>
        <cfvo type="max"/>
        <color rgb="FFF08D5B"/>
      </dataBar>
    </cfRule>
  </conditionalFormatting>
  <conditionalFormatting sqref="AN160:AN237">
    <cfRule type="dataBar" priority="690">
      <dataBar>
        <cfvo type="min"/>
        <cfvo type="max"/>
        <color rgb="FFF08D5B"/>
      </dataBar>
    </cfRule>
  </conditionalFormatting>
  <conditionalFormatting sqref="AN243:AN320">
    <cfRule type="dataBar" priority="756">
      <dataBar>
        <cfvo type="min"/>
        <cfvo type="max"/>
        <color rgb="FFF08D5B"/>
      </dataBar>
    </cfRule>
  </conditionalFormatting>
  <conditionalFormatting sqref="AN326:AN329">
    <cfRule type="dataBar" priority="822">
      <dataBar>
        <cfvo type="min"/>
        <cfvo type="max"/>
        <color rgb="FFF08D5B"/>
      </dataBar>
    </cfRule>
  </conditionalFormatting>
  <conditionalFormatting sqref="AN335:AN341">
    <cfRule type="dataBar" priority="888">
      <dataBar>
        <cfvo type="min"/>
        <cfvo type="max"/>
        <color rgb="FFF08D5B"/>
      </dataBar>
    </cfRule>
  </conditionalFormatting>
  <conditionalFormatting sqref="AN347:AN351">
    <cfRule type="dataBar" priority="954">
      <dataBar>
        <cfvo type="min"/>
        <cfvo type="max"/>
        <color rgb="FFF08D5B"/>
      </dataBar>
    </cfRule>
  </conditionalFormatting>
  <conditionalFormatting sqref="AN357:AN360">
    <cfRule type="dataBar" priority="1020">
      <dataBar>
        <cfvo type="min"/>
        <cfvo type="max"/>
        <color rgb="FFF08D5B"/>
      </dataBar>
    </cfRule>
  </conditionalFormatting>
  <conditionalFormatting sqref="AN366:AN372">
    <cfRule type="dataBar" priority="1086">
      <dataBar>
        <cfvo type="min"/>
        <cfvo type="max"/>
        <color rgb="FFF08D5B"/>
      </dataBar>
    </cfRule>
  </conditionalFormatting>
  <conditionalFormatting sqref="AN378:AN382">
    <cfRule type="dataBar" priority="1152">
      <dataBar>
        <cfvo type="min"/>
        <cfvo type="max"/>
        <color rgb="FFF08D5B"/>
      </dataBar>
    </cfRule>
  </conditionalFormatting>
  <conditionalFormatting sqref="AN388:AN391">
    <cfRule type="dataBar" priority="1218">
      <dataBar>
        <cfvo type="min"/>
        <cfvo type="max"/>
        <color rgb="FFF08D5B"/>
      </dataBar>
    </cfRule>
  </conditionalFormatting>
  <conditionalFormatting sqref="AN397:AN403">
    <cfRule type="dataBar" priority="1284">
      <dataBar>
        <cfvo type="min"/>
        <cfvo type="max"/>
        <color rgb="FFF08D5B"/>
      </dataBar>
    </cfRule>
  </conditionalFormatting>
  <conditionalFormatting sqref="AN409:AN413">
    <cfRule type="dataBar" priority="1350">
      <dataBar>
        <cfvo type="min"/>
        <cfvo type="max"/>
        <color rgb="FFF08D5B"/>
      </dataBar>
    </cfRule>
  </conditionalFormatting>
  <conditionalFormatting sqref="AN419:AN422">
    <cfRule type="dataBar" priority="1416">
      <dataBar>
        <cfvo type="min"/>
        <cfvo type="max"/>
        <color rgb="FFF08D5B"/>
      </dataBar>
    </cfRule>
  </conditionalFormatting>
  <conditionalFormatting sqref="AN428:AN434">
    <cfRule type="dataBar" priority="1482">
      <dataBar>
        <cfvo type="min"/>
        <cfvo type="max"/>
        <color rgb="FFF08D5B"/>
      </dataBar>
    </cfRule>
  </conditionalFormatting>
  <conditionalFormatting sqref="AN440:AN444">
    <cfRule type="dataBar" priority="1548">
      <dataBar>
        <cfvo type="min"/>
        <cfvo type="max"/>
        <color rgb="FFF08D5B"/>
      </dataBar>
    </cfRule>
  </conditionalFormatting>
  <conditionalFormatting sqref="AN450:AN453">
    <cfRule type="dataBar" priority="1614">
      <dataBar>
        <cfvo type="min"/>
        <cfvo type="max"/>
        <color rgb="FFF08D5B"/>
      </dataBar>
    </cfRule>
  </conditionalFormatting>
  <conditionalFormatting sqref="AN459:AN465">
    <cfRule type="dataBar" priority="1680">
      <dataBar>
        <cfvo type="min"/>
        <cfvo type="max"/>
        <color rgb="FFF08D5B"/>
      </dataBar>
    </cfRule>
  </conditionalFormatting>
  <conditionalFormatting sqref="AN471:AN475">
    <cfRule type="dataBar" priority="1746">
      <dataBar>
        <cfvo type="min"/>
        <cfvo type="max"/>
        <color rgb="FFF08D5B"/>
      </dataBar>
    </cfRule>
  </conditionalFormatting>
  <conditionalFormatting sqref="AN481:AN483">
    <cfRule type="dataBar" priority="1812">
      <dataBar>
        <cfvo type="min"/>
        <cfvo type="max"/>
        <color rgb="FFF08D5B"/>
      </dataBar>
    </cfRule>
  </conditionalFormatting>
  <conditionalFormatting sqref="AN489:AN600">
    <cfRule type="dataBar" priority="1878">
      <dataBar>
        <cfvo type="min"/>
        <cfvo type="max"/>
        <color rgb="FFF08D5B"/>
      </dataBar>
    </cfRule>
  </conditionalFormatting>
  <conditionalFormatting sqref="AN606:AN613">
    <cfRule type="dataBar" priority="1944">
      <dataBar>
        <cfvo type="min"/>
        <cfvo type="max"/>
        <color rgb="FFF08D5B"/>
      </dataBar>
    </cfRule>
  </conditionalFormatting>
  <conditionalFormatting sqref="AN619:AN626">
    <cfRule type="dataBar" priority="2010">
      <dataBar>
        <cfvo type="min"/>
        <cfvo type="max"/>
        <color rgb="FFF08D5B"/>
      </dataBar>
    </cfRule>
  </conditionalFormatting>
  <conditionalFormatting sqref="AP6:AP8">
    <cfRule type="dataBar" priority="31">
      <dataBar>
        <cfvo type="min"/>
        <cfvo type="max"/>
        <color rgb="FF628DC4"/>
      </dataBar>
    </cfRule>
  </conditionalFormatting>
  <conditionalFormatting sqref="AP14:AP19">
    <cfRule type="dataBar" priority="97">
      <dataBar>
        <cfvo type="min"/>
        <cfvo type="max"/>
        <color rgb="FF628DC4"/>
      </dataBar>
    </cfRule>
  </conditionalFormatting>
  <conditionalFormatting sqref="AP25:AP75">
    <cfRule type="dataBar" priority="163">
      <dataBar>
        <cfvo type="min"/>
        <cfvo type="max"/>
        <color rgb="FF628DC4"/>
      </dataBar>
    </cfRule>
  </conditionalFormatting>
  <conditionalFormatting sqref="AP81:AP83">
    <cfRule type="dataBar" priority="229">
      <dataBar>
        <cfvo type="min"/>
        <cfvo type="max"/>
        <color rgb="FF628DC4"/>
      </dataBar>
    </cfRule>
  </conditionalFormatting>
  <conditionalFormatting sqref="AP89:AP92">
    <cfRule type="dataBar" priority="295">
      <dataBar>
        <cfvo type="min"/>
        <cfvo type="max"/>
        <color rgb="FF628DC4"/>
      </dataBar>
    </cfRule>
  </conditionalFormatting>
  <conditionalFormatting sqref="AP98:AP108">
    <cfRule type="dataBar" priority="361">
      <dataBar>
        <cfvo type="min"/>
        <cfvo type="max"/>
        <color rgb="FF628DC4"/>
      </dataBar>
    </cfRule>
  </conditionalFormatting>
  <conditionalFormatting sqref="AP114:AP120">
    <cfRule type="dataBar" priority="427">
      <dataBar>
        <cfvo type="min"/>
        <cfvo type="max"/>
        <color rgb="FF628DC4"/>
      </dataBar>
    </cfRule>
  </conditionalFormatting>
  <conditionalFormatting sqref="AP126:AP130">
    <cfRule type="dataBar" priority="493">
      <dataBar>
        <cfvo type="min"/>
        <cfvo type="max"/>
        <color rgb="FF628DC4"/>
      </dataBar>
    </cfRule>
  </conditionalFormatting>
  <conditionalFormatting sqref="AP136:AP142">
    <cfRule type="dataBar" priority="559">
      <dataBar>
        <cfvo type="min"/>
        <cfvo type="max"/>
        <color rgb="FF628DC4"/>
      </dataBar>
    </cfRule>
  </conditionalFormatting>
  <conditionalFormatting sqref="AP148:AP154">
    <cfRule type="dataBar" priority="625">
      <dataBar>
        <cfvo type="min"/>
        <cfvo type="max"/>
        <color rgb="FF628DC4"/>
      </dataBar>
    </cfRule>
  </conditionalFormatting>
  <conditionalFormatting sqref="AP160:AP237">
    <cfRule type="dataBar" priority="691">
      <dataBar>
        <cfvo type="min"/>
        <cfvo type="max"/>
        <color rgb="FF628DC4"/>
      </dataBar>
    </cfRule>
  </conditionalFormatting>
  <conditionalFormatting sqref="AP243:AP320">
    <cfRule type="dataBar" priority="757">
      <dataBar>
        <cfvo type="min"/>
        <cfvo type="max"/>
        <color rgb="FF628DC4"/>
      </dataBar>
    </cfRule>
  </conditionalFormatting>
  <conditionalFormatting sqref="AP326:AP329">
    <cfRule type="dataBar" priority="823">
      <dataBar>
        <cfvo type="min"/>
        <cfvo type="max"/>
        <color rgb="FF628DC4"/>
      </dataBar>
    </cfRule>
  </conditionalFormatting>
  <conditionalFormatting sqref="AP335:AP341">
    <cfRule type="dataBar" priority="889">
      <dataBar>
        <cfvo type="min"/>
        <cfvo type="max"/>
        <color rgb="FF628DC4"/>
      </dataBar>
    </cfRule>
  </conditionalFormatting>
  <conditionalFormatting sqref="AP347:AP351">
    <cfRule type="dataBar" priority="955">
      <dataBar>
        <cfvo type="min"/>
        <cfvo type="max"/>
        <color rgb="FF628DC4"/>
      </dataBar>
    </cfRule>
  </conditionalFormatting>
  <conditionalFormatting sqref="AP357:AP360">
    <cfRule type="dataBar" priority="1021">
      <dataBar>
        <cfvo type="min"/>
        <cfvo type="max"/>
        <color rgb="FF628DC4"/>
      </dataBar>
    </cfRule>
  </conditionalFormatting>
  <conditionalFormatting sqref="AP366:AP372">
    <cfRule type="dataBar" priority="1087">
      <dataBar>
        <cfvo type="min"/>
        <cfvo type="max"/>
        <color rgb="FF628DC4"/>
      </dataBar>
    </cfRule>
  </conditionalFormatting>
  <conditionalFormatting sqref="AP378:AP382">
    <cfRule type="dataBar" priority="1153">
      <dataBar>
        <cfvo type="min"/>
        <cfvo type="max"/>
        <color rgb="FF628DC4"/>
      </dataBar>
    </cfRule>
  </conditionalFormatting>
  <conditionalFormatting sqref="AP388:AP391">
    <cfRule type="dataBar" priority="1219">
      <dataBar>
        <cfvo type="min"/>
        <cfvo type="max"/>
        <color rgb="FF628DC4"/>
      </dataBar>
    </cfRule>
  </conditionalFormatting>
  <conditionalFormatting sqref="AP397:AP403">
    <cfRule type="dataBar" priority="1285">
      <dataBar>
        <cfvo type="min"/>
        <cfvo type="max"/>
        <color rgb="FF628DC4"/>
      </dataBar>
    </cfRule>
  </conditionalFormatting>
  <conditionalFormatting sqref="AP409:AP413">
    <cfRule type="dataBar" priority="1351">
      <dataBar>
        <cfvo type="min"/>
        <cfvo type="max"/>
        <color rgb="FF628DC4"/>
      </dataBar>
    </cfRule>
  </conditionalFormatting>
  <conditionalFormatting sqref="AP419:AP422">
    <cfRule type="dataBar" priority="1417">
      <dataBar>
        <cfvo type="min"/>
        <cfvo type="max"/>
        <color rgb="FF628DC4"/>
      </dataBar>
    </cfRule>
  </conditionalFormatting>
  <conditionalFormatting sqref="AP428:AP434">
    <cfRule type="dataBar" priority="1483">
      <dataBar>
        <cfvo type="min"/>
        <cfvo type="max"/>
        <color rgb="FF628DC4"/>
      </dataBar>
    </cfRule>
  </conditionalFormatting>
  <conditionalFormatting sqref="AP440:AP444">
    <cfRule type="dataBar" priority="1549">
      <dataBar>
        <cfvo type="min"/>
        <cfvo type="max"/>
        <color rgb="FF628DC4"/>
      </dataBar>
    </cfRule>
  </conditionalFormatting>
  <conditionalFormatting sqref="AP450:AP453">
    <cfRule type="dataBar" priority="1615">
      <dataBar>
        <cfvo type="min"/>
        <cfvo type="max"/>
        <color rgb="FF628DC4"/>
      </dataBar>
    </cfRule>
  </conditionalFormatting>
  <conditionalFormatting sqref="AP459:AP465">
    <cfRule type="dataBar" priority="1681">
      <dataBar>
        <cfvo type="min"/>
        <cfvo type="max"/>
        <color rgb="FF628DC4"/>
      </dataBar>
    </cfRule>
  </conditionalFormatting>
  <conditionalFormatting sqref="AP471:AP475">
    <cfRule type="dataBar" priority="1747">
      <dataBar>
        <cfvo type="min"/>
        <cfvo type="max"/>
        <color rgb="FF628DC4"/>
      </dataBar>
    </cfRule>
  </conditionalFormatting>
  <conditionalFormatting sqref="AP481:AP483">
    <cfRule type="dataBar" priority="1813">
      <dataBar>
        <cfvo type="min"/>
        <cfvo type="max"/>
        <color rgb="FF628DC4"/>
      </dataBar>
    </cfRule>
  </conditionalFormatting>
  <conditionalFormatting sqref="AP489:AP600">
    <cfRule type="dataBar" priority="1879">
      <dataBar>
        <cfvo type="min"/>
        <cfvo type="max"/>
        <color rgb="FF628DC4"/>
      </dataBar>
    </cfRule>
  </conditionalFormatting>
  <conditionalFormatting sqref="AP606:AP613">
    <cfRule type="dataBar" priority="1945">
      <dataBar>
        <cfvo type="min"/>
        <cfvo type="max"/>
        <color rgb="FF628DC4"/>
      </dataBar>
    </cfRule>
  </conditionalFormatting>
  <conditionalFormatting sqref="AP619:AP626">
    <cfRule type="dataBar" priority="2011">
      <dataBar>
        <cfvo type="min"/>
        <cfvo type="max"/>
        <color rgb="FF628DC4"/>
      </dataBar>
    </cfRule>
  </conditionalFormatting>
  <conditionalFormatting sqref="AQ6:AQ8">
    <cfRule type="dataBar" priority="32">
      <dataBar>
        <cfvo type="min"/>
        <cfvo type="max"/>
        <color rgb="FFFFB628"/>
      </dataBar>
    </cfRule>
  </conditionalFormatting>
  <conditionalFormatting sqref="AQ14:AQ19">
    <cfRule type="dataBar" priority="98">
      <dataBar>
        <cfvo type="min"/>
        <cfvo type="max"/>
        <color rgb="FFFFB628"/>
      </dataBar>
    </cfRule>
  </conditionalFormatting>
  <conditionalFormatting sqref="AQ25:AQ75">
    <cfRule type="dataBar" priority="164">
      <dataBar>
        <cfvo type="min"/>
        <cfvo type="max"/>
        <color rgb="FFFFB628"/>
      </dataBar>
    </cfRule>
  </conditionalFormatting>
  <conditionalFormatting sqref="AQ81:AQ83">
    <cfRule type="dataBar" priority="230">
      <dataBar>
        <cfvo type="min"/>
        <cfvo type="max"/>
        <color rgb="FFFFB628"/>
      </dataBar>
    </cfRule>
  </conditionalFormatting>
  <conditionalFormatting sqref="AQ89:AQ92">
    <cfRule type="dataBar" priority="296">
      <dataBar>
        <cfvo type="min"/>
        <cfvo type="max"/>
        <color rgb="FFFFB628"/>
      </dataBar>
    </cfRule>
  </conditionalFormatting>
  <conditionalFormatting sqref="AQ98:AQ108">
    <cfRule type="dataBar" priority="362">
      <dataBar>
        <cfvo type="min"/>
        <cfvo type="max"/>
        <color rgb="FFFFB628"/>
      </dataBar>
    </cfRule>
  </conditionalFormatting>
  <conditionalFormatting sqref="AQ114:AQ120">
    <cfRule type="dataBar" priority="428">
      <dataBar>
        <cfvo type="min"/>
        <cfvo type="max"/>
        <color rgb="FFFFB628"/>
      </dataBar>
    </cfRule>
  </conditionalFormatting>
  <conditionalFormatting sqref="AQ126:AQ130">
    <cfRule type="dataBar" priority="494">
      <dataBar>
        <cfvo type="min"/>
        <cfvo type="max"/>
        <color rgb="FFFFB628"/>
      </dataBar>
    </cfRule>
  </conditionalFormatting>
  <conditionalFormatting sqref="AQ136:AQ142">
    <cfRule type="dataBar" priority="560">
      <dataBar>
        <cfvo type="min"/>
        <cfvo type="max"/>
        <color rgb="FFFFB628"/>
      </dataBar>
    </cfRule>
  </conditionalFormatting>
  <conditionalFormatting sqref="AQ148:AQ154">
    <cfRule type="dataBar" priority="626">
      <dataBar>
        <cfvo type="min"/>
        <cfvo type="max"/>
        <color rgb="FFFFB628"/>
      </dataBar>
    </cfRule>
  </conditionalFormatting>
  <conditionalFormatting sqref="AQ160:AQ237">
    <cfRule type="dataBar" priority="692">
      <dataBar>
        <cfvo type="min"/>
        <cfvo type="max"/>
        <color rgb="FFFFB628"/>
      </dataBar>
    </cfRule>
  </conditionalFormatting>
  <conditionalFormatting sqref="AQ243:AQ320">
    <cfRule type="dataBar" priority="758">
      <dataBar>
        <cfvo type="min"/>
        <cfvo type="max"/>
        <color rgb="FFFFB628"/>
      </dataBar>
    </cfRule>
  </conditionalFormatting>
  <conditionalFormatting sqref="AQ326:AQ329">
    <cfRule type="dataBar" priority="824">
      <dataBar>
        <cfvo type="min"/>
        <cfvo type="max"/>
        <color rgb="FFFFB628"/>
      </dataBar>
    </cfRule>
  </conditionalFormatting>
  <conditionalFormatting sqref="AQ335:AQ341">
    <cfRule type="dataBar" priority="890">
      <dataBar>
        <cfvo type="min"/>
        <cfvo type="max"/>
        <color rgb="FFFFB628"/>
      </dataBar>
    </cfRule>
  </conditionalFormatting>
  <conditionalFormatting sqref="AQ347:AQ351">
    <cfRule type="dataBar" priority="956">
      <dataBar>
        <cfvo type="min"/>
        <cfvo type="max"/>
        <color rgb="FFFFB628"/>
      </dataBar>
    </cfRule>
  </conditionalFormatting>
  <conditionalFormatting sqref="AQ357:AQ360">
    <cfRule type="dataBar" priority="1022">
      <dataBar>
        <cfvo type="min"/>
        <cfvo type="max"/>
        <color rgb="FFFFB628"/>
      </dataBar>
    </cfRule>
  </conditionalFormatting>
  <conditionalFormatting sqref="AQ366:AQ372">
    <cfRule type="dataBar" priority="1088">
      <dataBar>
        <cfvo type="min"/>
        <cfvo type="max"/>
        <color rgb="FFFFB628"/>
      </dataBar>
    </cfRule>
  </conditionalFormatting>
  <conditionalFormatting sqref="AQ378:AQ382">
    <cfRule type="dataBar" priority="1154">
      <dataBar>
        <cfvo type="min"/>
        <cfvo type="max"/>
        <color rgb="FFFFB628"/>
      </dataBar>
    </cfRule>
  </conditionalFormatting>
  <conditionalFormatting sqref="AQ388:AQ391">
    <cfRule type="dataBar" priority="1220">
      <dataBar>
        <cfvo type="min"/>
        <cfvo type="max"/>
        <color rgb="FFFFB628"/>
      </dataBar>
    </cfRule>
  </conditionalFormatting>
  <conditionalFormatting sqref="AQ397:AQ403">
    <cfRule type="dataBar" priority="1286">
      <dataBar>
        <cfvo type="min"/>
        <cfvo type="max"/>
        <color rgb="FFFFB628"/>
      </dataBar>
    </cfRule>
  </conditionalFormatting>
  <conditionalFormatting sqref="AQ409:AQ413">
    <cfRule type="dataBar" priority="1352">
      <dataBar>
        <cfvo type="min"/>
        <cfvo type="max"/>
        <color rgb="FFFFB628"/>
      </dataBar>
    </cfRule>
  </conditionalFormatting>
  <conditionalFormatting sqref="AQ419:AQ422">
    <cfRule type="dataBar" priority="1418">
      <dataBar>
        <cfvo type="min"/>
        <cfvo type="max"/>
        <color rgb="FFFFB628"/>
      </dataBar>
    </cfRule>
  </conditionalFormatting>
  <conditionalFormatting sqref="AQ428:AQ434">
    <cfRule type="dataBar" priority="1484">
      <dataBar>
        <cfvo type="min"/>
        <cfvo type="max"/>
        <color rgb="FFFFB628"/>
      </dataBar>
    </cfRule>
  </conditionalFormatting>
  <conditionalFormatting sqref="AQ440:AQ444">
    <cfRule type="dataBar" priority="1550">
      <dataBar>
        <cfvo type="min"/>
        <cfvo type="max"/>
        <color rgb="FFFFB628"/>
      </dataBar>
    </cfRule>
  </conditionalFormatting>
  <conditionalFormatting sqref="AQ450:AQ453">
    <cfRule type="dataBar" priority="1616">
      <dataBar>
        <cfvo type="min"/>
        <cfvo type="max"/>
        <color rgb="FFFFB628"/>
      </dataBar>
    </cfRule>
  </conditionalFormatting>
  <conditionalFormatting sqref="AQ459:AQ465">
    <cfRule type="dataBar" priority="1682">
      <dataBar>
        <cfvo type="min"/>
        <cfvo type="max"/>
        <color rgb="FFFFB628"/>
      </dataBar>
    </cfRule>
  </conditionalFormatting>
  <conditionalFormatting sqref="AQ471:AQ475">
    <cfRule type="dataBar" priority="1748">
      <dataBar>
        <cfvo type="min"/>
        <cfvo type="max"/>
        <color rgb="FFFFB628"/>
      </dataBar>
    </cfRule>
  </conditionalFormatting>
  <conditionalFormatting sqref="AQ481:AQ483">
    <cfRule type="dataBar" priority="1814">
      <dataBar>
        <cfvo type="min"/>
        <cfvo type="max"/>
        <color rgb="FFFFB628"/>
      </dataBar>
    </cfRule>
  </conditionalFormatting>
  <conditionalFormatting sqref="AQ489:AQ600">
    <cfRule type="dataBar" priority="1880">
      <dataBar>
        <cfvo type="min"/>
        <cfvo type="max"/>
        <color rgb="FFFFB628"/>
      </dataBar>
    </cfRule>
  </conditionalFormatting>
  <conditionalFormatting sqref="AQ606:AQ613">
    <cfRule type="dataBar" priority="1946">
      <dataBar>
        <cfvo type="min"/>
        <cfvo type="max"/>
        <color rgb="FFFFB628"/>
      </dataBar>
    </cfRule>
  </conditionalFormatting>
  <conditionalFormatting sqref="AQ619:AQ626">
    <cfRule type="dataBar" priority="2012">
      <dataBar>
        <cfvo type="min"/>
        <cfvo type="max"/>
        <color rgb="FFFFB628"/>
      </dataBar>
    </cfRule>
  </conditionalFormatting>
  <conditionalFormatting sqref="AR6:AR8">
    <cfRule type="dataBar" priority="33">
      <dataBar>
        <cfvo type="min"/>
        <cfvo type="max"/>
        <color rgb="FFF08D5B"/>
      </dataBar>
    </cfRule>
  </conditionalFormatting>
  <conditionalFormatting sqref="AR14:AR19">
    <cfRule type="dataBar" priority="99">
      <dataBar>
        <cfvo type="min"/>
        <cfvo type="max"/>
        <color rgb="FFF08D5B"/>
      </dataBar>
    </cfRule>
  </conditionalFormatting>
  <conditionalFormatting sqref="AR25:AR75">
    <cfRule type="dataBar" priority="165">
      <dataBar>
        <cfvo type="min"/>
        <cfvo type="max"/>
        <color rgb="FFF08D5B"/>
      </dataBar>
    </cfRule>
  </conditionalFormatting>
  <conditionalFormatting sqref="AR81:AR83">
    <cfRule type="dataBar" priority="231">
      <dataBar>
        <cfvo type="min"/>
        <cfvo type="max"/>
        <color rgb="FFF08D5B"/>
      </dataBar>
    </cfRule>
  </conditionalFormatting>
  <conditionalFormatting sqref="AR89:AR92">
    <cfRule type="dataBar" priority="297">
      <dataBar>
        <cfvo type="min"/>
        <cfvo type="max"/>
        <color rgb="FFF08D5B"/>
      </dataBar>
    </cfRule>
  </conditionalFormatting>
  <conditionalFormatting sqref="AR98:AR108">
    <cfRule type="dataBar" priority="363">
      <dataBar>
        <cfvo type="min"/>
        <cfvo type="max"/>
        <color rgb="FFF08D5B"/>
      </dataBar>
    </cfRule>
  </conditionalFormatting>
  <conditionalFormatting sqref="AR114:AR120">
    <cfRule type="dataBar" priority="429">
      <dataBar>
        <cfvo type="min"/>
        <cfvo type="max"/>
        <color rgb="FFF08D5B"/>
      </dataBar>
    </cfRule>
  </conditionalFormatting>
  <conditionalFormatting sqref="AR126:AR130">
    <cfRule type="dataBar" priority="495">
      <dataBar>
        <cfvo type="min"/>
        <cfvo type="max"/>
        <color rgb="FFF08D5B"/>
      </dataBar>
    </cfRule>
  </conditionalFormatting>
  <conditionalFormatting sqref="AR136:AR142">
    <cfRule type="dataBar" priority="561">
      <dataBar>
        <cfvo type="min"/>
        <cfvo type="max"/>
        <color rgb="FFF08D5B"/>
      </dataBar>
    </cfRule>
  </conditionalFormatting>
  <conditionalFormatting sqref="AR148:AR154">
    <cfRule type="dataBar" priority="627">
      <dataBar>
        <cfvo type="min"/>
        <cfvo type="max"/>
        <color rgb="FFF08D5B"/>
      </dataBar>
    </cfRule>
  </conditionalFormatting>
  <conditionalFormatting sqref="AR160:AR237">
    <cfRule type="dataBar" priority="693">
      <dataBar>
        <cfvo type="min"/>
        <cfvo type="max"/>
        <color rgb="FFF08D5B"/>
      </dataBar>
    </cfRule>
  </conditionalFormatting>
  <conditionalFormatting sqref="AR243:AR320">
    <cfRule type="dataBar" priority="759">
      <dataBar>
        <cfvo type="min"/>
        <cfvo type="max"/>
        <color rgb="FFF08D5B"/>
      </dataBar>
    </cfRule>
  </conditionalFormatting>
  <conditionalFormatting sqref="AR326:AR329">
    <cfRule type="dataBar" priority="825">
      <dataBar>
        <cfvo type="min"/>
        <cfvo type="max"/>
        <color rgb="FFF08D5B"/>
      </dataBar>
    </cfRule>
  </conditionalFormatting>
  <conditionalFormatting sqref="AR335:AR341">
    <cfRule type="dataBar" priority="891">
      <dataBar>
        <cfvo type="min"/>
        <cfvo type="max"/>
        <color rgb="FFF08D5B"/>
      </dataBar>
    </cfRule>
  </conditionalFormatting>
  <conditionalFormatting sqref="AR347:AR351">
    <cfRule type="dataBar" priority="957">
      <dataBar>
        <cfvo type="min"/>
        <cfvo type="max"/>
        <color rgb="FFF08D5B"/>
      </dataBar>
    </cfRule>
  </conditionalFormatting>
  <conditionalFormatting sqref="AR357:AR360">
    <cfRule type="dataBar" priority="1023">
      <dataBar>
        <cfvo type="min"/>
        <cfvo type="max"/>
        <color rgb="FFF08D5B"/>
      </dataBar>
    </cfRule>
  </conditionalFormatting>
  <conditionalFormatting sqref="AR366:AR372">
    <cfRule type="dataBar" priority="1089">
      <dataBar>
        <cfvo type="min"/>
        <cfvo type="max"/>
        <color rgb="FFF08D5B"/>
      </dataBar>
    </cfRule>
  </conditionalFormatting>
  <conditionalFormatting sqref="AR378:AR382">
    <cfRule type="dataBar" priority="1155">
      <dataBar>
        <cfvo type="min"/>
        <cfvo type="max"/>
        <color rgb="FFF08D5B"/>
      </dataBar>
    </cfRule>
  </conditionalFormatting>
  <conditionalFormatting sqref="AR388:AR391">
    <cfRule type="dataBar" priority="1221">
      <dataBar>
        <cfvo type="min"/>
        <cfvo type="max"/>
        <color rgb="FFF08D5B"/>
      </dataBar>
    </cfRule>
  </conditionalFormatting>
  <conditionalFormatting sqref="AR397:AR403">
    <cfRule type="dataBar" priority="1287">
      <dataBar>
        <cfvo type="min"/>
        <cfvo type="max"/>
        <color rgb="FFF08D5B"/>
      </dataBar>
    </cfRule>
  </conditionalFormatting>
  <conditionalFormatting sqref="AR409:AR413">
    <cfRule type="dataBar" priority="1353">
      <dataBar>
        <cfvo type="min"/>
        <cfvo type="max"/>
        <color rgb="FFF08D5B"/>
      </dataBar>
    </cfRule>
  </conditionalFormatting>
  <conditionalFormatting sqref="AR419:AR422">
    <cfRule type="dataBar" priority="1419">
      <dataBar>
        <cfvo type="min"/>
        <cfvo type="max"/>
        <color rgb="FFF08D5B"/>
      </dataBar>
    </cfRule>
  </conditionalFormatting>
  <conditionalFormatting sqref="AR428:AR434">
    <cfRule type="dataBar" priority="1485">
      <dataBar>
        <cfvo type="min"/>
        <cfvo type="max"/>
        <color rgb="FFF08D5B"/>
      </dataBar>
    </cfRule>
  </conditionalFormatting>
  <conditionalFormatting sqref="AR440:AR444">
    <cfRule type="dataBar" priority="1551">
      <dataBar>
        <cfvo type="min"/>
        <cfvo type="max"/>
        <color rgb="FFF08D5B"/>
      </dataBar>
    </cfRule>
  </conditionalFormatting>
  <conditionalFormatting sqref="AR450:AR453">
    <cfRule type="dataBar" priority="1617">
      <dataBar>
        <cfvo type="min"/>
        <cfvo type="max"/>
        <color rgb="FFF08D5B"/>
      </dataBar>
    </cfRule>
  </conditionalFormatting>
  <conditionalFormatting sqref="AR459:AR465">
    <cfRule type="dataBar" priority="1683">
      <dataBar>
        <cfvo type="min"/>
        <cfvo type="max"/>
        <color rgb="FFF08D5B"/>
      </dataBar>
    </cfRule>
  </conditionalFormatting>
  <conditionalFormatting sqref="AR471:AR475">
    <cfRule type="dataBar" priority="1749">
      <dataBar>
        <cfvo type="min"/>
        <cfvo type="max"/>
        <color rgb="FFF08D5B"/>
      </dataBar>
    </cfRule>
  </conditionalFormatting>
  <conditionalFormatting sqref="AR481:AR483">
    <cfRule type="dataBar" priority="1815">
      <dataBar>
        <cfvo type="min"/>
        <cfvo type="max"/>
        <color rgb="FFF08D5B"/>
      </dataBar>
    </cfRule>
  </conditionalFormatting>
  <conditionalFormatting sqref="AR489:AR600">
    <cfRule type="dataBar" priority="1881">
      <dataBar>
        <cfvo type="min"/>
        <cfvo type="max"/>
        <color rgb="FFF08D5B"/>
      </dataBar>
    </cfRule>
  </conditionalFormatting>
  <conditionalFormatting sqref="AR606:AR613">
    <cfRule type="dataBar" priority="1947">
      <dataBar>
        <cfvo type="min"/>
        <cfvo type="max"/>
        <color rgb="FFF08D5B"/>
      </dataBar>
    </cfRule>
  </conditionalFormatting>
  <conditionalFormatting sqref="AR619:AR626">
    <cfRule type="dataBar" priority="2013">
      <dataBar>
        <cfvo type="min"/>
        <cfvo type="max"/>
        <color rgb="FFF08D5B"/>
      </dataBar>
    </cfRule>
  </conditionalFormatting>
  <conditionalFormatting sqref="AT6:AT8">
    <cfRule type="dataBar" priority="34">
      <dataBar>
        <cfvo type="min"/>
        <cfvo type="max"/>
        <color rgb="FF628DC4"/>
      </dataBar>
    </cfRule>
  </conditionalFormatting>
  <conditionalFormatting sqref="AT14:AT19">
    <cfRule type="dataBar" priority="100">
      <dataBar>
        <cfvo type="min"/>
        <cfvo type="max"/>
        <color rgb="FF628DC4"/>
      </dataBar>
    </cfRule>
  </conditionalFormatting>
  <conditionalFormatting sqref="AT25:AT75">
    <cfRule type="dataBar" priority="166">
      <dataBar>
        <cfvo type="min"/>
        <cfvo type="max"/>
        <color rgb="FF628DC4"/>
      </dataBar>
    </cfRule>
  </conditionalFormatting>
  <conditionalFormatting sqref="AT81:AT83">
    <cfRule type="dataBar" priority="232">
      <dataBar>
        <cfvo type="min"/>
        <cfvo type="max"/>
        <color rgb="FF628DC4"/>
      </dataBar>
    </cfRule>
  </conditionalFormatting>
  <conditionalFormatting sqref="AT89:AT92">
    <cfRule type="dataBar" priority="298">
      <dataBar>
        <cfvo type="min"/>
        <cfvo type="max"/>
        <color rgb="FF628DC4"/>
      </dataBar>
    </cfRule>
  </conditionalFormatting>
  <conditionalFormatting sqref="AT98:AT108">
    <cfRule type="dataBar" priority="364">
      <dataBar>
        <cfvo type="min"/>
        <cfvo type="max"/>
        <color rgb="FF628DC4"/>
      </dataBar>
    </cfRule>
  </conditionalFormatting>
  <conditionalFormatting sqref="AT114:AT120">
    <cfRule type="dataBar" priority="430">
      <dataBar>
        <cfvo type="min"/>
        <cfvo type="max"/>
        <color rgb="FF628DC4"/>
      </dataBar>
    </cfRule>
  </conditionalFormatting>
  <conditionalFormatting sqref="AT126:AT130">
    <cfRule type="dataBar" priority="496">
      <dataBar>
        <cfvo type="min"/>
        <cfvo type="max"/>
        <color rgb="FF628DC4"/>
      </dataBar>
    </cfRule>
  </conditionalFormatting>
  <conditionalFormatting sqref="AT136:AT142">
    <cfRule type="dataBar" priority="562">
      <dataBar>
        <cfvo type="min"/>
        <cfvo type="max"/>
        <color rgb="FF628DC4"/>
      </dataBar>
    </cfRule>
  </conditionalFormatting>
  <conditionalFormatting sqref="AT148:AT154">
    <cfRule type="dataBar" priority="628">
      <dataBar>
        <cfvo type="min"/>
        <cfvo type="max"/>
        <color rgb="FF628DC4"/>
      </dataBar>
    </cfRule>
  </conditionalFormatting>
  <conditionalFormatting sqref="AT160:AT237">
    <cfRule type="dataBar" priority="694">
      <dataBar>
        <cfvo type="min"/>
        <cfvo type="max"/>
        <color rgb="FF628DC4"/>
      </dataBar>
    </cfRule>
  </conditionalFormatting>
  <conditionalFormatting sqref="AT243:AT320">
    <cfRule type="dataBar" priority="760">
      <dataBar>
        <cfvo type="min"/>
        <cfvo type="max"/>
        <color rgb="FF628DC4"/>
      </dataBar>
    </cfRule>
  </conditionalFormatting>
  <conditionalFormatting sqref="AT326:AT329">
    <cfRule type="dataBar" priority="826">
      <dataBar>
        <cfvo type="min"/>
        <cfvo type="max"/>
        <color rgb="FF628DC4"/>
      </dataBar>
    </cfRule>
  </conditionalFormatting>
  <conditionalFormatting sqref="AT335:AT341">
    <cfRule type="dataBar" priority="892">
      <dataBar>
        <cfvo type="min"/>
        <cfvo type="max"/>
        <color rgb="FF628DC4"/>
      </dataBar>
    </cfRule>
  </conditionalFormatting>
  <conditionalFormatting sqref="AT347:AT351">
    <cfRule type="dataBar" priority="958">
      <dataBar>
        <cfvo type="min"/>
        <cfvo type="max"/>
        <color rgb="FF628DC4"/>
      </dataBar>
    </cfRule>
  </conditionalFormatting>
  <conditionalFormatting sqref="AT357:AT360">
    <cfRule type="dataBar" priority="1024">
      <dataBar>
        <cfvo type="min"/>
        <cfvo type="max"/>
        <color rgb="FF628DC4"/>
      </dataBar>
    </cfRule>
  </conditionalFormatting>
  <conditionalFormatting sqref="AT366:AT372">
    <cfRule type="dataBar" priority="1090">
      <dataBar>
        <cfvo type="min"/>
        <cfvo type="max"/>
        <color rgb="FF628DC4"/>
      </dataBar>
    </cfRule>
  </conditionalFormatting>
  <conditionalFormatting sqref="AT378:AT382">
    <cfRule type="dataBar" priority="1156">
      <dataBar>
        <cfvo type="min"/>
        <cfvo type="max"/>
        <color rgb="FF628DC4"/>
      </dataBar>
    </cfRule>
  </conditionalFormatting>
  <conditionalFormatting sqref="AT388:AT391">
    <cfRule type="dataBar" priority="1222">
      <dataBar>
        <cfvo type="min"/>
        <cfvo type="max"/>
        <color rgb="FF628DC4"/>
      </dataBar>
    </cfRule>
  </conditionalFormatting>
  <conditionalFormatting sqref="AT397:AT403">
    <cfRule type="dataBar" priority="1288">
      <dataBar>
        <cfvo type="min"/>
        <cfvo type="max"/>
        <color rgb="FF628DC4"/>
      </dataBar>
    </cfRule>
  </conditionalFormatting>
  <conditionalFormatting sqref="AT409:AT413">
    <cfRule type="dataBar" priority="1354">
      <dataBar>
        <cfvo type="min"/>
        <cfvo type="max"/>
        <color rgb="FF628DC4"/>
      </dataBar>
    </cfRule>
  </conditionalFormatting>
  <conditionalFormatting sqref="AT419:AT422">
    <cfRule type="dataBar" priority="1420">
      <dataBar>
        <cfvo type="min"/>
        <cfvo type="max"/>
        <color rgb="FF628DC4"/>
      </dataBar>
    </cfRule>
  </conditionalFormatting>
  <conditionalFormatting sqref="AT428:AT434">
    <cfRule type="dataBar" priority="1486">
      <dataBar>
        <cfvo type="min"/>
        <cfvo type="max"/>
        <color rgb="FF628DC4"/>
      </dataBar>
    </cfRule>
  </conditionalFormatting>
  <conditionalFormatting sqref="AT440:AT444">
    <cfRule type="dataBar" priority="1552">
      <dataBar>
        <cfvo type="min"/>
        <cfvo type="max"/>
        <color rgb="FF628DC4"/>
      </dataBar>
    </cfRule>
  </conditionalFormatting>
  <conditionalFormatting sqref="AT450:AT453">
    <cfRule type="dataBar" priority="1618">
      <dataBar>
        <cfvo type="min"/>
        <cfvo type="max"/>
        <color rgb="FF628DC4"/>
      </dataBar>
    </cfRule>
  </conditionalFormatting>
  <conditionalFormatting sqref="AT459:AT465">
    <cfRule type="dataBar" priority="1684">
      <dataBar>
        <cfvo type="min"/>
        <cfvo type="max"/>
        <color rgb="FF628DC4"/>
      </dataBar>
    </cfRule>
  </conditionalFormatting>
  <conditionalFormatting sqref="AT471:AT475">
    <cfRule type="dataBar" priority="1750">
      <dataBar>
        <cfvo type="min"/>
        <cfvo type="max"/>
        <color rgb="FF628DC4"/>
      </dataBar>
    </cfRule>
  </conditionalFormatting>
  <conditionalFormatting sqref="AT481:AT483">
    <cfRule type="dataBar" priority="1816">
      <dataBar>
        <cfvo type="min"/>
        <cfvo type="max"/>
        <color rgb="FF628DC4"/>
      </dataBar>
    </cfRule>
  </conditionalFormatting>
  <conditionalFormatting sqref="AT489:AT600">
    <cfRule type="dataBar" priority="1882">
      <dataBar>
        <cfvo type="min"/>
        <cfvo type="max"/>
        <color rgb="FF628DC4"/>
      </dataBar>
    </cfRule>
  </conditionalFormatting>
  <conditionalFormatting sqref="AT606:AT613">
    <cfRule type="dataBar" priority="1948">
      <dataBar>
        <cfvo type="min"/>
        <cfvo type="max"/>
        <color rgb="FF628DC4"/>
      </dataBar>
    </cfRule>
  </conditionalFormatting>
  <conditionalFormatting sqref="AT619:AT626">
    <cfRule type="dataBar" priority="2014">
      <dataBar>
        <cfvo type="min"/>
        <cfvo type="max"/>
        <color rgb="FF628DC4"/>
      </dataBar>
    </cfRule>
  </conditionalFormatting>
  <conditionalFormatting sqref="AU6:AU8">
    <cfRule type="dataBar" priority="35">
      <dataBar>
        <cfvo type="min"/>
        <cfvo type="max"/>
        <color rgb="FFFFB628"/>
      </dataBar>
    </cfRule>
  </conditionalFormatting>
  <conditionalFormatting sqref="AU14:AU19">
    <cfRule type="dataBar" priority="101">
      <dataBar>
        <cfvo type="min"/>
        <cfvo type="max"/>
        <color rgb="FFFFB628"/>
      </dataBar>
    </cfRule>
  </conditionalFormatting>
  <conditionalFormatting sqref="AU25:AU75">
    <cfRule type="dataBar" priority="167">
      <dataBar>
        <cfvo type="min"/>
        <cfvo type="max"/>
        <color rgb="FFFFB628"/>
      </dataBar>
    </cfRule>
  </conditionalFormatting>
  <conditionalFormatting sqref="AU81:AU83">
    <cfRule type="dataBar" priority="233">
      <dataBar>
        <cfvo type="min"/>
        <cfvo type="max"/>
        <color rgb="FFFFB628"/>
      </dataBar>
    </cfRule>
  </conditionalFormatting>
  <conditionalFormatting sqref="AU89:AU92">
    <cfRule type="dataBar" priority="299">
      <dataBar>
        <cfvo type="min"/>
        <cfvo type="max"/>
        <color rgb="FFFFB628"/>
      </dataBar>
    </cfRule>
  </conditionalFormatting>
  <conditionalFormatting sqref="AU98:AU108">
    <cfRule type="dataBar" priority="365">
      <dataBar>
        <cfvo type="min"/>
        <cfvo type="max"/>
        <color rgb="FFFFB628"/>
      </dataBar>
    </cfRule>
  </conditionalFormatting>
  <conditionalFormatting sqref="AU114:AU120">
    <cfRule type="dataBar" priority="431">
      <dataBar>
        <cfvo type="min"/>
        <cfvo type="max"/>
        <color rgb="FFFFB628"/>
      </dataBar>
    </cfRule>
  </conditionalFormatting>
  <conditionalFormatting sqref="AU126:AU130">
    <cfRule type="dataBar" priority="497">
      <dataBar>
        <cfvo type="min"/>
        <cfvo type="max"/>
        <color rgb="FFFFB628"/>
      </dataBar>
    </cfRule>
  </conditionalFormatting>
  <conditionalFormatting sqref="AU136:AU142">
    <cfRule type="dataBar" priority="563">
      <dataBar>
        <cfvo type="min"/>
        <cfvo type="max"/>
        <color rgb="FFFFB628"/>
      </dataBar>
    </cfRule>
  </conditionalFormatting>
  <conditionalFormatting sqref="AU148:AU154">
    <cfRule type="dataBar" priority="629">
      <dataBar>
        <cfvo type="min"/>
        <cfvo type="max"/>
        <color rgb="FFFFB628"/>
      </dataBar>
    </cfRule>
  </conditionalFormatting>
  <conditionalFormatting sqref="AU160:AU237">
    <cfRule type="dataBar" priority="695">
      <dataBar>
        <cfvo type="min"/>
        <cfvo type="max"/>
        <color rgb="FFFFB628"/>
      </dataBar>
    </cfRule>
  </conditionalFormatting>
  <conditionalFormatting sqref="AU243:AU320">
    <cfRule type="dataBar" priority="761">
      <dataBar>
        <cfvo type="min"/>
        <cfvo type="max"/>
        <color rgb="FFFFB628"/>
      </dataBar>
    </cfRule>
  </conditionalFormatting>
  <conditionalFormatting sqref="AU326:AU329">
    <cfRule type="dataBar" priority="827">
      <dataBar>
        <cfvo type="min"/>
        <cfvo type="max"/>
        <color rgb="FFFFB628"/>
      </dataBar>
    </cfRule>
  </conditionalFormatting>
  <conditionalFormatting sqref="AU335:AU341">
    <cfRule type="dataBar" priority="893">
      <dataBar>
        <cfvo type="min"/>
        <cfvo type="max"/>
        <color rgb="FFFFB628"/>
      </dataBar>
    </cfRule>
  </conditionalFormatting>
  <conditionalFormatting sqref="AU347:AU351">
    <cfRule type="dataBar" priority="959">
      <dataBar>
        <cfvo type="min"/>
        <cfvo type="max"/>
        <color rgb="FFFFB628"/>
      </dataBar>
    </cfRule>
  </conditionalFormatting>
  <conditionalFormatting sqref="AU357:AU360">
    <cfRule type="dataBar" priority="1025">
      <dataBar>
        <cfvo type="min"/>
        <cfvo type="max"/>
        <color rgb="FFFFB628"/>
      </dataBar>
    </cfRule>
  </conditionalFormatting>
  <conditionalFormatting sqref="AU366:AU372">
    <cfRule type="dataBar" priority="1091">
      <dataBar>
        <cfvo type="min"/>
        <cfvo type="max"/>
        <color rgb="FFFFB628"/>
      </dataBar>
    </cfRule>
  </conditionalFormatting>
  <conditionalFormatting sqref="AU378:AU382">
    <cfRule type="dataBar" priority="1157">
      <dataBar>
        <cfvo type="min"/>
        <cfvo type="max"/>
        <color rgb="FFFFB628"/>
      </dataBar>
    </cfRule>
  </conditionalFormatting>
  <conditionalFormatting sqref="AU388:AU391">
    <cfRule type="dataBar" priority="1223">
      <dataBar>
        <cfvo type="min"/>
        <cfvo type="max"/>
        <color rgb="FFFFB628"/>
      </dataBar>
    </cfRule>
  </conditionalFormatting>
  <conditionalFormatting sqref="AU397:AU403">
    <cfRule type="dataBar" priority="1289">
      <dataBar>
        <cfvo type="min"/>
        <cfvo type="max"/>
        <color rgb="FFFFB628"/>
      </dataBar>
    </cfRule>
  </conditionalFormatting>
  <conditionalFormatting sqref="AU409:AU413">
    <cfRule type="dataBar" priority="1355">
      <dataBar>
        <cfvo type="min"/>
        <cfvo type="max"/>
        <color rgb="FFFFB628"/>
      </dataBar>
    </cfRule>
  </conditionalFormatting>
  <conditionalFormatting sqref="AU419:AU422">
    <cfRule type="dataBar" priority="1421">
      <dataBar>
        <cfvo type="min"/>
        <cfvo type="max"/>
        <color rgb="FFFFB628"/>
      </dataBar>
    </cfRule>
  </conditionalFormatting>
  <conditionalFormatting sqref="AU428:AU434">
    <cfRule type="dataBar" priority="1487">
      <dataBar>
        <cfvo type="min"/>
        <cfvo type="max"/>
        <color rgb="FFFFB628"/>
      </dataBar>
    </cfRule>
  </conditionalFormatting>
  <conditionalFormatting sqref="AU440:AU444">
    <cfRule type="dataBar" priority="1553">
      <dataBar>
        <cfvo type="min"/>
        <cfvo type="max"/>
        <color rgb="FFFFB628"/>
      </dataBar>
    </cfRule>
  </conditionalFormatting>
  <conditionalFormatting sqref="AU450:AU453">
    <cfRule type="dataBar" priority="1619">
      <dataBar>
        <cfvo type="min"/>
        <cfvo type="max"/>
        <color rgb="FFFFB628"/>
      </dataBar>
    </cfRule>
  </conditionalFormatting>
  <conditionalFormatting sqref="AU459:AU465">
    <cfRule type="dataBar" priority="1685">
      <dataBar>
        <cfvo type="min"/>
        <cfvo type="max"/>
        <color rgb="FFFFB628"/>
      </dataBar>
    </cfRule>
  </conditionalFormatting>
  <conditionalFormatting sqref="AU471:AU475">
    <cfRule type="dataBar" priority="1751">
      <dataBar>
        <cfvo type="min"/>
        <cfvo type="max"/>
        <color rgb="FFFFB628"/>
      </dataBar>
    </cfRule>
  </conditionalFormatting>
  <conditionalFormatting sqref="AU481:AU483">
    <cfRule type="dataBar" priority="1817">
      <dataBar>
        <cfvo type="min"/>
        <cfvo type="max"/>
        <color rgb="FFFFB628"/>
      </dataBar>
    </cfRule>
  </conditionalFormatting>
  <conditionalFormatting sqref="AU489:AU600">
    <cfRule type="dataBar" priority="1883">
      <dataBar>
        <cfvo type="min"/>
        <cfvo type="max"/>
        <color rgb="FFFFB628"/>
      </dataBar>
    </cfRule>
  </conditionalFormatting>
  <conditionalFormatting sqref="AU606:AU613">
    <cfRule type="dataBar" priority="1949">
      <dataBar>
        <cfvo type="min"/>
        <cfvo type="max"/>
        <color rgb="FFFFB628"/>
      </dataBar>
    </cfRule>
  </conditionalFormatting>
  <conditionalFormatting sqref="AU619:AU626">
    <cfRule type="dataBar" priority="2015">
      <dataBar>
        <cfvo type="min"/>
        <cfvo type="max"/>
        <color rgb="FFFFB628"/>
      </dataBar>
    </cfRule>
  </conditionalFormatting>
  <conditionalFormatting sqref="AV6:AV8">
    <cfRule type="dataBar" priority="36">
      <dataBar>
        <cfvo type="min"/>
        <cfvo type="max"/>
        <color rgb="FFF08D5B"/>
      </dataBar>
    </cfRule>
  </conditionalFormatting>
  <conditionalFormatting sqref="AV14:AV19">
    <cfRule type="dataBar" priority="102">
      <dataBar>
        <cfvo type="min"/>
        <cfvo type="max"/>
        <color rgb="FFF08D5B"/>
      </dataBar>
    </cfRule>
  </conditionalFormatting>
  <conditionalFormatting sqref="AV25:AV75">
    <cfRule type="dataBar" priority="168">
      <dataBar>
        <cfvo type="min"/>
        <cfvo type="max"/>
        <color rgb="FFF08D5B"/>
      </dataBar>
    </cfRule>
  </conditionalFormatting>
  <conditionalFormatting sqref="AV81:AV83">
    <cfRule type="dataBar" priority="234">
      <dataBar>
        <cfvo type="min"/>
        <cfvo type="max"/>
        <color rgb="FFF08D5B"/>
      </dataBar>
    </cfRule>
  </conditionalFormatting>
  <conditionalFormatting sqref="AV89:AV92">
    <cfRule type="dataBar" priority="300">
      <dataBar>
        <cfvo type="min"/>
        <cfvo type="max"/>
        <color rgb="FFF08D5B"/>
      </dataBar>
    </cfRule>
  </conditionalFormatting>
  <conditionalFormatting sqref="AV98:AV108">
    <cfRule type="dataBar" priority="366">
      <dataBar>
        <cfvo type="min"/>
        <cfvo type="max"/>
        <color rgb="FFF08D5B"/>
      </dataBar>
    </cfRule>
  </conditionalFormatting>
  <conditionalFormatting sqref="AV114:AV120">
    <cfRule type="dataBar" priority="432">
      <dataBar>
        <cfvo type="min"/>
        <cfvo type="max"/>
        <color rgb="FFF08D5B"/>
      </dataBar>
    </cfRule>
  </conditionalFormatting>
  <conditionalFormatting sqref="AV126:AV130">
    <cfRule type="dataBar" priority="498">
      <dataBar>
        <cfvo type="min"/>
        <cfvo type="max"/>
        <color rgb="FFF08D5B"/>
      </dataBar>
    </cfRule>
  </conditionalFormatting>
  <conditionalFormatting sqref="AV136:AV142">
    <cfRule type="dataBar" priority="564">
      <dataBar>
        <cfvo type="min"/>
        <cfvo type="max"/>
        <color rgb="FFF08D5B"/>
      </dataBar>
    </cfRule>
  </conditionalFormatting>
  <conditionalFormatting sqref="AV148:AV154">
    <cfRule type="dataBar" priority="630">
      <dataBar>
        <cfvo type="min"/>
        <cfvo type="max"/>
        <color rgb="FFF08D5B"/>
      </dataBar>
    </cfRule>
  </conditionalFormatting>
  <conditionalFormatting sqref="AV160:AV237">
    <cfRule type="dataBar" priority="696">
      <dataBar>
        <cfvo type="min"/>
        <cfvo type="max"/>
        <color rgb="FFF08D5B"/>
      </dataBar>
    </cfRule>
  </conditionalFormatting>
  <conditionalFormatting sqref="AV243:AV320">
    <cfRule type="dataBar" priority="762">
      <dataBar>
        <cfvo type="min"/>
        <cfvo type="max"/>
        <color rgb="FFF08D5B"/>
      </dataBar>
    </cfRule>
  </conditionalFormatting>
  <conditionalFormatting sqref="AV326:AV329">
    <cfRule type="dataBar" priority="828">
      <dataBar>
        <cfvo type="min"/>
        <cfvo type="max"/>
        <color rgb="FFF08D5B"/>
      </dataBar>
    </cfRule>
  </conditionalFormatting>
  <conditionalFormatting sqref="AV335:AV341">
    <cfRule type="dataBar" priority="894">
      <dataBar>
        <cfvo type="min"/>
        <cfvo type="max"/>
        <color rgb="FFF08D5B"/>
      </dataBar>
    </cfRule>
  </conditionalFormatting>
  <conditionalFormatting sqref="AV347:AV351">
    <cfRule type="dataBar" priority="960">
      <dataBar>
        <cfvo type="min"/>
        <cfvo type="max"/>
        <color rgb="FFF08D5B"/>
      </dataBar>
    </cfRule>
  </conditionalFormatting>
  <conditionalFormatting sqref="AV357:AV360">
    <cfRule type="dataBar" priority="1026">
      <dataBar>
        <cfvo type="min"/>
        <cfvo type="max"/>
        <color rgb="FFF08D5B"/>
      </dataBar>
    </cfRule>
  </conditionalFormatting>
  <conditionalFormatting sqref="AV366:AV372">
    <cfRule type="dataBar" priority="1092">
      <dataBar>
        <cfvo type="min"/>
        <cfvo type="max"/>
        <color rgb="FFF08D5B"/>
      </dataBar>
    </cfRule>
  </conditionalFormatting>
  <conditionalFormatting sqref="AV378:AV382">
    <cfRule type="dataBar" priority="1158">
      <dataBar>
        <cfvo type="min"/>
        <cfvo type="max"/>
        <color rgb="FFF08D5B"/>
      </dataBar>
    </cfRule>
  </conditionalFormatting>
  <conditionalFormatting sqref="AV388:AV391">
    <cfRule type="dataBar" priority="1224">
      <dataBar>
        <cfvo type="min"/>
        <cfvo type="max"/>
        <color rgb="FFF08D5B"/>
      </dataBar>
    </cfRule>
  </conditionalFormatting>
  <conditionalFormatting sqref="AV397:AV403">
    <cfRule type="dataBar" priority="1290">
      <dataBar>
        <cfvo type="min"/>
        <cfvo type="max"/>
        <color rgb="FFF08D5B"/>
      </dataBar>
    </cfRule>
  </conditionalFormatting>
  <conditionalFormatting sqref="AV409:AV413">
    <cfRule type="dataBar" priority="1356">
      <dataBar>
        <cfvo type="min"/>
        <cfvo type="max"/>
        <color rgb="FFF08D5B"/>
      </dataBar>
    </cfRule>
  </conditionalFormatting>
  <conditionalFormatting sqref="AV419:AV422">
    <cfRule type="dataBar" priority="1422">
      <dataBar>
        <cfvo type="min"/>
        <cfvo type="max"/>
        <color rgb="FFF08D5B"/>
      </dataBar>
    </cfRule>
  </conditionalFormatting>
  <conditionalFormatting sqref="AV428:AV434">
    <cfRule type="dataBar" priority="1488">
      <dataBar>
        <cfvo type="min"/>
        <cfvo type="max"/>
        <color rgb="FFF08D5B"/>
      </dataBar>
    </cfRule>
  </conditionalFormatting>
  <conditionalFormatting sqref="AV440:AV444">
    <cfRule type="dataBar" priority="1554">
      <dataBar>
        <cfvo type="min"/>
        <cfvo type="max"/>
        <color rgb="FFF08D5B"/>
      </dataBar>
    </cfRule>
  </conditionalFormatting>
  <conditionalFormatting sqref="AV450:AV453">
    <cfRule type="dataBar" priority="1620">
      <dataBar>
        <cfvo type="min"/>
        <cfvo type="max"/>
        <color rgb="FFF08D5B"/>
      </dataBar>
    </cfRule>
  </conditionalFormatting>
  <conditionalFormatting sqref="AV459:AV465">
    <cfRule type="dataBar" priority="1686">
      <dataBar>
        <cfvo type="min"/>
        <cfvo type="max"/>
        <color rgb="FFF08D5B"/>
      </dataBar>
    </cfRule>
  </conditionalFormatting>
  <conditionalFormatting sqref="AV471:AV475">
    <cfRule type="dataBar" priority="1752">
      <dataBar>
        <cfvo type="min"/>
        <cfvo type="max"/>
        <color rgb="FFF08D5B"/>
      </dataBar>
    </cfRule>
  </conditionalFormatting>
  <conditionalFormatting sqref="AV481:AV483">
    <cfRule type="dataBar" priority="1818">
      <dataBar>
        <cfvo type="min"/>
        <cfvo type="max"/>
        <color rgb="FFF08D5B"/>
      </dataBar>
    </cfRule>
  </conditionalFormatting>
  <conditionalFormatting sqref="AV489:AV600">
    <cfRule type="dataBar" priority="1884">
      <dataBar>
        <cfvo type="min"/>
        <cfvo type="max"/>
        <color rgb="FFF08D5B"/>
      </dataBar>
    </cfRule>
  </conditionalFormatting>
  <conditionalFormatting sqref="AV606:AV613">
    <cfRule type="dataBar" priority="1950">
      <dataBar>
        <cfvo type="min"/>
        <cfvo type="max"/>
        <color rgb="FFF08D5B"/>
      </dataBar>
    </cfRule>
  </conditionalFormatting>
  <conditionalFormatting sqref="AV619:AV626">
    <cfRule type="dataBar" priority="2016">
      <dataBar>
        <cfvo type="min"/>
        <cfvo type="max"/>
        <color rgb="FFF08D5B"/>
      </dataBar>
    </cfRule>
  </conditionalFormatting>
  <conditionalFormatting sqref="AX6:AX8">
    <cfRule type="dataBar" priority="37">
      <dataBar>
        <cfvo type="min"/>
        <cfvo type="max"/>
        <color rgb="FF628DC4"/>
      </dataBar>
    </cfRule>
  </conditionalFormatting>
  <conditionalFormatting sqref="AX14:AX19">
    <cfRule type="dataBar" priority="103">
      <dataBar>
        <cfvo type="min"/>
        <cfvo type="max"/>
        <color rgb="FF628DC4"/>
      </dataBar>
    </cfRule>
  </conditionalFormatting>
  <conditionalFormatting sqref="AX25:AX75">
    <cfRule type="dataBar" priority="169">
      <dataBar>
        <cfvo type="min"/>
        <cfvo type="max"/>
        <color rgb="FF628DC4"/>
      </dataBar>
    </cfRule>
  </conditionalFormatting>
  <conditionalFormatting sqref="AX81:AX83">
    <cfRule type="dataBar" priority="235">
      <dataBar>
        <cfvo type="min"/>
        <cfvo type="max"/>
        <color rgb="FF628DC4"/>
      </dataBar>
    </cfRule>
  </conditionalFormatting>
  <conditionalFormatting sqref="AX89:AX92">
    <cfRule type="dataBar" priority="301">
      <dataBar>
        <cfvo type="min"/>
        <cfvo type="max"/>
        <color rgb="FF628DC4"/>
      </dataBar>
    </cfRule>
  </conditionalFormatting>
  <conditionalFormatting sqref="AX98:AX108">
    <cfRule type="dataBar" priority="367">
      <dataBar>
        <cfvo type="min"/>
        <cfvo type="max"/>
        <color rgb="FF628DC4"/>
      </dataBar>
    </cfRule>
  </conditionalFormatting>
  <conditionalFormatting sqref="AX114:AX120">
    <cfRule type="dataBar" priority="433">
      <dataBar>
        <cfvo type="min"/>
        <cfvo type="max"/>
        <color rgb="FF628DC4"/>
      </dataBar>
    </cfRule>
  </conditionalFormatting>
  <conditionalFormatting sqref="AX126:AX130">
    <cfRule type="dataBar" priority="499">
      <dataBar>
        <cfvo type="min"/>
        <cfvo type="max"/>
        <color rgb="FF628DC4"/>
      </dataBar>
    </cfRule>
  </conditionalFormatting>
  <conditionalFormatting sqref="AX136:AX142">
    <cfRule type="dataBar" priority="565">
      <dataBar>
        <cfvo type="min"/>
        <cfvo type="max"/>
        <color rgb="FF628DC4"/>
      </dataBar>
    </cfRule>
  </conditionalFormatting>
  <conditionalFormatting sqref="AX148:AX154">
    <cfRule type="dataBar" priority="631">
      <dataBar>
        <cfvo type="min"/>
        <cfvo type="max"/>
        <color rgb="FF628DC4"/>
      </dataBar>
    </cfRule>
  </conditionalFormatting>
  <conditionalFormatting sqref="AX160:AX237">
    <cfRule type="dataBar" priority="697">
      <dataBar>
        <cfvo type="min"/>
        <cfvo type="max"/>
        <color rgb="FF628DC4"/>
      </dataBar>
    </cfRule>
  </conditionalFormatting>
  <conditionalFormatting sqref="AX243:AX320">
    <cfRule type="dataBar" priority="763">
      <dataBar>
        <cfvo type="min"/>
        <cfvo type="max"/>
        <color rgb="FF628DC4"/>
      </dataBar>
    </cfRule>
  </conditionalFormatting>
  <conditionalFormatting sqref="AX326:AX329">
    <cfRule type="dataBar" priority="829">
      <dataBar>
        <cfvo type="min"/>
        <cfvo type="max"/>
        <color rgb="FF628DC4"/>
      </dataBar>
    </cfRule>
  </conditionalFormatting>
  <conditionalFormatting sqref="AX335:AX341">
    <cfRule type="dataBar" priority="895">
      <dataBar>
        <cfvo type="min"/>
        <cfvo type="max"/>
        <color rgb="FF628DC4"/>
      </dataBar>
    </cfRule>
  </conditionalFormatting>
  <conditionalFormatting sqref="AX347:AX351">
    <cfRule type="dataBar" priority="961">
      <dataBar>
        <cfvo type="min"/>
        <cfvo type="max"/>
        <color rgb="FF628DC4"/>
      </dataBar>
    </cfRule>
  </conditionalFormatting>
  <conditionalFormatting sqref="AX357:AX360">
    <cfRule type="dataBar" priority="1027">
      <dataBar>
        <cfvo type="min"/>
        <cfvo type="max"/>
        <color rgb="FF628DC4"/>
      </dataBar>
    </cfRule>
  </conditionalFormatting>
  <conditionalFormatting sqref="AX366:AX372">
    <cfRule type="dataBar" priority="1093">
      <dataBar>
        <cfvo type="min"/>
        <cfvo type="max"/>
        <color rgb="FF628DC4"/>
      </dataBar>
    </cfRule>
  </conditionalFormatting>
  <conditionalFormatting sqref="AX378:AX382">
    <cfRule type="dataBar" priority="1159">
      <dataBar>
        <cfvo type="min"/>
        <cfvo type="max"/>
        <color rgb="FF628DC4"/>
      </dataBar>
    </cfRule>
  </conditionalFormatting>
  <conditionalFormatting sqref="AX388:AX391">
    <cfRule type="dataBar" priority="1225">
      <dataBar>
        <cfvo type="min"/>
        <cfvo type="max"/>
        <color rgb="FF628DC4"/>
      </dataBar>
    </cfRule>
  </conditionalFormatting>
  <conditionalFormatting sqref="AX397:AX403">
    <cfRule type="dataBar" priority="1291">
      <dataBar>
        <cfvo type="min"/>
        <cfvo type="max"/>
        <color rgb="FF628DC4"/>
      </dataBar>
    </cfRule>
  </conditionalFormatting>
  <conditionalFormatting sqref="AX409:AX413">
    <cfRule type="dataBar" priority="1357">
      <dataBar>
        <cfvo type="min"/>
        <cfvo type="max"/>
        <color rgb="FF628DC4"/>
      </dataBar>
    </cfRule>
  </conditionalFormatting>
  <conditionalFormatting sqref="AX419:AX422">
    <cfRule type="dataBar" priority="1423">
      <dataBar>
        <cfvo type="min"/>
        <cfvo type="max"/>
        <color rgb="FF628DC4"/>
      </dataBar>
    </cfRule>
  </conditionalFormatting>
  <conditionalFormatting sqref="AX428:AX434">
    <cfRule type="dataBar" priority="1489">
      <dataBar>
        <cfvo type="min"/>
        <cfvo type="max"/>
        <color rgb="FF628DC4"/>
      </dataBar>
    </cfRule>
  </conditionalFormatting>
  <conditionalFormatting sqref="AX440:AX444">
    <cfRule type="dataBar" priority="1555">
      <dataBar>
        <cfvo type="min"/>
        <cfvo type="max"/>
        <color rgb="FF628DC4"/>
      </dataBar>
    </cfRule>
  </conditionalFormatting>
  <conditionalFormatting sqref="AX450:AX453">
    <cfRule type="dataBar" priority="1621">
      <dataBar>
        <cfvo type="min"/>
        <cfvo type="max"/>
        <color rgb="FF628DC4"/>
      </dataBar>
    </cfRule>
  </conditionalFormatting>
  <conditionalFormatting sqref="AX459:AX465">
    <cfRule type="dataBar" priority="1687">
      <dataBar>
        <cfvo type="min"/>
        <cfvo type="max"/>
        <color rgb="FF628DC4"/>
      </dataBar>
    </cfRule>
  </conditionalFormatting>
  <conditionalFormatting sqref="AX471:AX475">
    <cfRule type="dataBar" priority="1753">
      <dataBar>
        <cfvo type="min"/>
        <cfvo type="max"/>
        <color rgb="FF628DC4"/>
      </dataBar>
    </cfRule>
  </conditionalFormatting>
  <conditionalFormatting sqref="AX481:AX483">
    <cfRule type="dataBar" priority="1819">
      <dataBar>
        <cfvo type="min"/>
        <cfvo type="max"/>
        <color rgb="FF628DC4"/>
      </dataBar>
    </cfRule>
  </conditionalFormatting>
  <conditionalFormatting sqref="AX489:AX600">
    <cfRule type="dataBar" priority="1885">
      <dataBar>
        <cfvo type="min"/>
        <cfvo type="max"/>
        <color rgb="FF628DC4"/>
      </dataBar>
    </cfRule>
  </conditionalFormatting>
  <conditionalFormatting sqref="AX606:AX613">
    <cfRule type="dataBar" priority="1951">
      <dataBar>
        <cfvo type="min"/>
        <cfvo type="max"/>
        <color rgb="FF628DC4"/>
      </dataBar>
    </cfRule>
  </conditionalFormatting>
  <conditionalFormatting sqref="AX619:AX626">
    <cfRule type="dataBar" priority="2017">
      <dataBar>
        <cfvo type="min"/>
        <cfvo type="max"/>
        <color rgb="FF628DC4"/>
      </dataBar>
    </cfRule>
  </conditionalFormatting>
  <conditionalFormatting sqref="AY6:AY8">
    <cfRule type="dataBar" priority="38">
      <dataBar>
        <cfvo type="min"/>
        <cfvo type="max"/>
        <color rgb="FFFFB628"/>
      </dataBar>
    </cfRule>
  </conditionalFormatting>
  <conditionalFormatting sqref="AY14:AY19">
    <cfRule type="dataBar" priority="104">
      <dataBar>
        <cfvo type="min"/>
        <cfvo type="max"/>
        <color rgb="FFFFB628"/>
      </dataBar>
    </cfRule>
  </conditionalFormatting>
  <conditionalFormatting sqref="AY25:AY75">
    <cfRule type="dataBar" priority="170">
      <dataBar>
        <cfvo type="min"/>
        <cfvo type="max"/>
        <color rgb="FFFFB628"/>
      </dataBar>
    </cfRule>
  </conditionalFormatting>
  <conditionalFormatting sqref="AY81:AY83">
    <cfRule type="dataBar" priority="236">
      <dataBar>
        <cfvo type="min"/>
        <cfvo type="max"/>
        <color rgb="FFFFB628"/>
      </dataBar>
    </cfRule>
  </conditionalFormatting>
  <conditionalFormatting sqref="AY89:AY92">
    <cfRule type="dataBar" priority="302">
      <dataBar>
        <cfvo type="min"/>
        <cfvo type="max"/>
        <color rgb="FFFFB628"/>
      </dataBar>
    </cfRule>
  </conditionalFormatting>
  <conditionalFormatting sqref="AY98:AY108">
    <cfRule type="dataBar" priority="368">
      <dataBar>
        <cfvo type="min"/>
        <cfvo type="max"/>
        <color rgb="FFFFB628"/>
      </dataBar>
    </cfRule>
  </conditionalFormatting>
  <conditionalFormatting sqref="AY114:AY120">
    <cfRule type="dataBar" priority="434">
      <dataBar>
        <cfvo type="min"/>
        <cfvo type="max"/>
        <color rgb="FFFFB628"/>
      </dataBar>
    </cfRule>
  </conditionalFormatting>
  <conditionalFormatting sqref="AY126:AY130">
    <cfRule type="dataBar" priority="500">
      <dataBar>
        <cfvo type="min"/>
        <cfvo type="max"/>
        <color rgb="FFFFB628"/>
      </dataBar>
    </cfRule>
  </conditionalFormatting>
  <conditionalFormatting sqref="AY136:AY142">
    <cfRule type="dataBar" priority="566">
      <dataBar>
        <cfvo type="min"/>
        <cfvo type="max"/>
        <color rgb="FFFFB628"/>
      </dataBar>
    </cfRule>
  </conditionalFormatting>
  <conditionalFormatting sqref="AY148:AY154">
    <cfRule type="dataBar" priority="632">
      <dataBar>
        <cfvo type="min"/>
        <cfvo type="max"/>
        <color rgb="FFFFB628"/>
      </dataBar>
    </cfRule>
  </conditionalFormatting>
  <conditionalFormatting sqref="AY160:AY237">
    <cfRule type="dataBar" priority="698">
      <dataBar>
        <cfvo type="min"/>
        <cfvo type="max"/>
        <color rgb="FFFFB628"/>
      </dataBar>
    </cfRule>
  </conditionalFormatting>
  <conditionalFormatting sqref="AY243:AY320">
    <cfRule type="dataBar" priority="764">
      <dataBar>
        <cfvo type="min"/>
        <cfvo type="max"/>
        <color rgb="FFFFB628"/>
      </dataBar>
    </cfRule>
  </conditionalFormatting>
  <conditionalFormatting sqref="AY326:AY329">
    <cfRule type="dataBar" priority="830">
      <dataBar>
        <cfvo type="min"/>
        <cfvo type="max"/>
        <color rgb="FFFFB628"/>
      </dataBar>
    </cfRule>
  </conditionalFormatting>
  <conditionalFormatting sqref="AY335:AY341">
    <cfRule type="dataBar" priority="896">
      <dataBar>
        <cfvo type="min"/>
        <cfvo type="max"/>
        <color rgb="FFFFB628"/>
      </dataBar>
    </cfRule>
  </conditionalFormatting>
  <conditionalFormatting sqref="AY347:AY351">
    <cfRule type="dataBar" priority="962">
      <dataBar>
        <cfvo type="min"/>
        <cfvo type="max"/>
        <color rgb="FFFFB628"/>
      </dataBar>
    </cfRule>
  </conditionalFormatting>
  <conditionalFormatting sqref="AY357:AY360">
    <cfRule type="dataBar" priority="1028">
      <dataBar>
        <cfvo type="min"/>
        <cfvo type="max"/>
        <color rgb="FFFFB628"/>
      </dataBar>
    </cfRule>
  </conditionalFormatting>
  <conditionalFormatting sqref="AY366:AY372">
    <cfRule type="dataBar" priority="1094">
      <dataBar>
        <cfvo type="min"/>
        <cfvo type="max"/>
        <color rgb="FFFFB628"/>
      </dataBar>
    </cfRule>
  </conditionalFormatting>
  <conditionalFormatting sqref="AY378:AY382">
    <cfRule type="dataBar" priority="1160">
      <dataBar>
        <cfvo type="min"/>
        <cfvo type="max"/>
        <color rgb="FFFFB628"/>
      </dataBar>
    </cfRule>
  </conditionalFormatting>
  <conditionalFormatting sqref="AY388:AY391">
    <cfRule type="dataBar" priority="1226">
      <dataBar>
        <cfvo type="min"/>
        <cfvo type="max"/>
        <color rgb="FFFFB628"/>
      </dataBar>
    </cfRule>
  </conditionalFormatting>
  <conditionalFormatting sqref="AY397:AY403">
    <cfRule type="dataBar" priority="1292">
      <dataBar>
        <cfvo type="min"/>
        <cfvo type="max"/>
        <color rgb="FFFFB628"/>
      </dataBar>
    </cfRule>
  </conditionalFormatting>
  <conditionalFormatting sqref="AY409:AY413">
    <cfRule type="dataBar" priority="1358">
      <dataBar>
        <cfvo type="min"/>
        <cfvo type="max"/>
        <color rgb="FFFFB628"/>
      </dataBar>
    </cfRule>
  </conditionalFormatting>
  <conditionalFormatting sqref="AY419:AY422">
    <cfRule type="dataBar" priority="1424">
      <dataBar>
        <cfvo type="min"/>
        <cfvo type="max"/>
        <color rgb="FFFFB628"/>
      </dataBar>
    </cfRule>
  </conditionalFormatting>
  <conditionalFormatting sqref="AY428:AY434">
    <cfRule type="dataBar" priority="1490">
      <dataBar>
        <cfvo type="min"/>
        <cfvo type="max"/>
        <color rgb="FFFFB628"/>
      </dataBar>
    </cfRule>
  </conditionalFormatting>
  <conditionalFormatting sqref="AY440:AY444">
    <cfRule type="dataBar" priority="1556">
      <dataBar>
        <cfvo type="min"/>
        <cfvo type="max"/>
        <color rgb="FFFFB628"/>
      </dataBar>
    </cfRule>
  </conditionalFormatting>
  <conditionalFormatting sqref="AY450:AY453">
    <cfRule type="dataBar" priority="1622">
      <dataBar>
        <cfvo type="min"/>
        <cfvo type="max"/>
        <color rgb="FFFFB628"/>
      </dataBar>
    </cfRule>
  </conditionalFormatting>
  <conditionalFormatting sqref="AY459:AY465">
    <cfRule type="dataBar" priority="1688">
      <dataBar>
        <cfvo type="min"/>
        <cfvo type="max"/>
        <color rgb="FFFFB628"/>
      </dataBar>
    </cfRule>
  </conditionalFormatting>
  <conditionalFormatting sqref="AY471:AY475">
    <cfRule type="dataBar" priority="1754">
      <dataBar>
        <cfvo type="min"/>
        <cfvo type="max"/>
        <color rgb="FFFFB628"/>
      </dataBar>
    </cfRule>
  </conditionalFormatting>
  <conditionalFormatting sqref="AY481:AY483">
    <cfRule type="dataBar" priority="1820">
      <dataBar>
        <cfvo type="min"/>
        <cfvo type="max"/>
        <color rgb="FFFFB628"/>
      </dataBar>
    </cfRule>
  </conditionalFormatting>
  <conditionalFormatting sqref="AY489:AY600">
    <cfRule type="dataBar" priority="1886">
      <dataBar>
        <cfvo type="min"/>
        <cfvo type="max"/>
        <color rgb="FFFFB628"/>
      </dataBar>
    </cfRule>
  </conditionalFormatting>
  <conditionalFormatting sqref="AY606:AY613">
    <cfRule type="dataBar" priority="1952">
      <dataBar>
        <cfvo type="min"/>
        <cfvo type="max"/>
        <color rgb="FFFFB628"/>
      </dataBar>
    </cfRule>
  </conditionalFormatting>
  <conditionalFormatting sqref="AY619:AY626">
    <cfRule type="dataBar" priority="2018">
      <dataBar>
        <cfvo type="min"/>
        <cfvo type="max"/>
        <color rgb="FFFFB628"/>
      </dataBar>
    </cfRule>
  </conditionalFormatting>
  <conditionalFormatting sqref="AZ6:AZ8">
    <cfRule type="dataBar" priority="39">
      <dataBar>
        <cfvo type="min"/>
        <cfvo type="max"/>
        <color rgb="FFF08D5B"/>
      </dataBar>
    </cfRule>
  </conditionalFormatting>
  <conditionalFormatting sqref="AZ14:AZ19">
    <cfRule type="dataBar" priority="105">
      <dataBar>
        <cfvo type="min"/>
        <cfvo type="max"/>
        <color rgb="FFF08D5B"/>
      </dataBar>
    </cfRule>
  </conditionalFormatting>
  <conditionalFormatting sqref="AZ25:AZ75">
    <cfRule type="dataBar" priority="171">
      <dataBar>
        <cfvo type="min"/>
        <cfvo type="max"/>
        <color rgb="FFF08D5B"/>
      </dataBar>
    </cfRule>
  </conditionalFormatting>
  <conditionalFormatting sqref="AZ81:AZ83">
    <cfRule type="dataBar" priority="237">
      <dataBar>
        <cfvo type="min"/>
        <cfvo type="max"/>
        <color rgb="FFF08D5B"/>
      </dataBar>
    </cfRule>
  </conditionalFormatting>
  <conditionalFormatting sqref="AZ89:AZ92">
    <cfRule type="dataBar" priority="303">
      <dataBar>
        <cfvo type="min"/>
        <cfvo type="max"/>
        <color rgb="FFF08D5B"/>
      </dataBar>
    </cfRule>
  </conditionalFormatting>
  <conditionalFormatting sqref="AZ98:AZ108">
    <cfRule type="dataBar" priority="369">
      <dataBar>
        <cfvo type="min"/>
        <cfvo type="max"/>
        <color rgb="FFF08D5B"/>
      </dataBar>
    </cfRule>
  </conditionalFormatting>
  <conditionalFormatting sqref="AZ114:AZ120">
    <cfRule type="dataBar" priority="435">
      <dataBar>
        <cfvo type="min"/>
        <cfvo type="max"/>
        <color rgb="FFF08D5B"/>
      </dataBar>
    </cfRule>
  </conditionalFormatting>
  <conditionalFormatting sqref="AZ126:AZ130">
    <cfRule type="dataBar" priority="501">
      <dataBar>
        <cfvo type="min"/>
        <cfvo type="max"/>
        <color rgb="FFF08D5B"/>
      </dataBar>
    </cfRule>
  </conditionalFormatting>
  <conditionalFormatting sqref="AZ136:AZ142">
    <cfRule type="dataBar" priority="567">
      <dataBar>
        <cfvo type="min"/>
        <cfvo type="max"/>
        <color rgb="FFF08D5B"/>
      </dataBar>
    </cfRule>
  </conditionalFormatting>
  <conditionalFormatting sqref="AZ148:AZ154">
    <cfRule type="dataBar" priority="633">
      <dataBar>
        <cfvo type="min"/>
        <cfvo type="max"/>
        <color rgb="FFF08D5B"/>
      </dataBar>
    </cfRule>
  </conditionalFormatting>
  <conditionalFormatting sqref="AZ160:AZ237">
    <cfRule type="dataBar" priority="699">
      <dataBar>
        <cfvo type="min"/>
        <cfvo type="max"/>
        <color rgb="FFF08D5B"/>
      </dataBar>
    </cfRule>
  </conditionalFormatting>
  <conditionalFormatting sqref="AZ243:AZ320">
    <cfRule type="dataBar" priority="765">
      <dataBar>
        <cfvo type="min"/>
        <cfvo type="max"/>
        <color rgb="FFF08D5B"/>
      </dataBar>
    </cfRule>
  </conditionalFormatting>
  <conditionalFormatting sqref="AZ326:AZ329">
    <cfRule type="dataBar" priority="831">
      <dataBar>
        <cfvo type="min"/>
        <cfvo type="max"/>
        <color rgb="FFF08D5B"/>
      </dataBar>
    </cfRule>
  </conditionalFormatting>
  <conditionalFormatting sqref="AZ335:AZ341">
    <cfRule type="dataBar" priority="897">
      <dataBar>
        <cfvo type="min"/>
        <cfvo type="max"/>
        <color rgb="FFF08D5B"/>
      </dataBar>
    </cfRule>
  </conditionalFormatting>
  <conditionalFormatting sqref="AZ347:AZ351">
    <cfRule type="dataBar" priority="963">
      <dataBar>
        <cfvo type="min"/>
        <cfvo type="max"/>
        <color rgb="FFF08D5B"/>
      </dataBar>
    </cfRule>
  </conditionalFormatting>
  <conditionalFormatting sqref="AZ357:AZ360">
    <cfRule type="dataBar" priority="1029">
      <dataBar>
        <cfvo type="min"/>
        <cfvo type="max"/>
        <color rgb="FFF08D5B"/>
      </dataBar>
    </cfRule>
  </conditionalFormatting>
  <conditionalFormatting sqref="AZ366:AZ372">
    <cfRule type="dataBar" priority="1095">
      <dataBar>
        <cfvo type="min"/>
        <cfvo type="max"/>
        <color rgb="FFF08D5B"/>
      </dataBar>
    </cfRule>
  </conditionalFormatting>
  <conditionalFormatting sqref="AZ378:AZ382">
    <cfRule type="dataBar" priority="1161">
      <dataBar>
        <cfvo type="min"/>
        <cfvo type="max"/>
        <color rgb="FFF08D5B"/>
      </dataBar>
    </cfRule>
  </conditionalFormatting>
  <conditionalFormatting sqref="AZ388:AZ391">
    <cfRule type="dataBar" priority="1227">
      <dataBar>
        <cfvo type="min"/>
        <cfvo type="max"/>
        <color rgb="FFF08D5B"/>
      </dataBar>
    </cfRule>
  </conditionalFormatting>
  <conditionalFormatting sqref="AZ397:AZ403">
    <cfRule type="dataBar" priority="1293">
      <dataBar>
        <cfvo type="min"/>
        <cfvo type="max"/>
        <color rgb="FFF08D5B"/>
      </dataBar>
    </cfRule>
  </conditionalFormatting>
  <conditionalFormatting sqref="AZ409:AZ413">
    <cfRule type="dataBar" priority="1359">
      <dataBar>
        <cfvo type="min"/>
        <cfvo type="max"/>
        <color rgb="FFF08D5B"/>
      </dataBar>
    </cfRule>
  </conditionalFormatting>
  <conditionalFormatting sqref="AZ419:AZ422">
    <cfRule type="dataBar" priority="1425">
      <dataBar>
        <cfvo type="min"/>
        <cfvo type="max"/>
        <color rgb="FFF08D5B"/>
      </dataBar>
    </cfRule>
  </conditionalFormatting>
  <conditionalFormatting sqref="AZ428:AZ434">
    <cfRule type="dataBar" priority="1491">
      <dataBar>
        <cfvo type="min"/>
        <cfvo type="max"/>
        <color rgb="FFF08D5B"/>
      </dataBar>
    </cfRule>
  </conditionalFormatting>
  <conditionalFormatting sqref="AZ440:AZ444">
    <cfRule type="dataBar" priority="1557">
      <dataBar>
        <cfvo type="min"/>
        <cfvo type="max"/>
        <color rgb="FFF08D5B"/>
      </dataBar>
    </cfRule>
  </conditionalFormatting>
  <conditionalFormatting sqref="AZ450:AZ453">
    <cfRule type="dataBar" priority="1623">
      <dataBar>
        <cfvo type="min"/>
        <cfvo type="max"/>
        <color rgb="FFF08D5B"/>
      </dataBar>
    </cfRule>
  </conditionalFormatting>
  <conditionalFormatting sqref="AZ459:AZ465">
    <cfRule type="dataBar" priority="1689">
      <dataBar>
        <cfvo type="min"/>
        <cfvo type="max"/>
        <color rgb="FFF08D5B"/>
      </dataBar>
    </cfRule>
  </conditionalFormatting>
  <conditionalFormatting sqref="AZ471:AZ475">
    <cfRule type="dataBar" priority="1755">
      <dataBar>
        <cfvo type="min"/>
        <cfvo type="max"/>
        <color rgb="FFF08D5B"/>
      </dataBar>
    </cfRule>
  </conditionalFormatting>
  <conditionalFormatting sqref="AZ481:AZ483">
    <cfRule type="dataBar" priority="1821">
      <dataBar>
        <cfvo type="min"/>
        <cfvo type="max"/>
        <color rgb="FFF08D5B"/>
      </dataBar>
    </cfRule>
  </conditionalFormatting>
  <conditionalFormatting sqref="AZ489:AZ600">
    <cfRule type="dataBar" priority="1887">
      <dataBar>
        <cfvo type="min"/>
        <cfvo type="max"/>
        <color rgb="FFF08D5B"/>
      </dataBar>
    </cfRule>
  </conditionalFormatting>
  <conditionalFormatting sqref="AZ606:AZ613">
    <cfRule type="dataBar" priority="1953">
      <dataBar>
        <cfvo type="min"/>
        <cfvo type="max"/>
        <color rgb="FFF08D5B"/>
      </dataBar>
    </cfRule>
  </conditionalFormatting>
  <conditionalFormatting sqref="AZ619:AZ626">
    <cfRule type="dataBar" priority="2019">
      <dataBar>
        <cfvo type="min"/>
        <cfvo type="max"/>
        <color rgb="FFF08D5B"/>
      </dataBar>
    </cfRule>
  </conditionalFormatting>
  <conditionalFormatting sqref="BB6:BB8">
    <cfRule type="dataBar" priority="40">
      <dataBar>
        <cfvo type="min"/>
        <cfvo type="max"/>
        <color rgb="FF628DC4"/>
      </dataBar>
    </cfRule>
  </conditionalFormatting>
  <conditionalFormatting sqref="BB14:BB19">
    <cfRule type="dataBar" priority="106">
      <dataBar>
        <cfvo type="min"/>
        <cfvo type="max"/>
        <color rgb="FF628DC4"/>
      </dataBar>
    </cfRule>
  </conditionalFormatting>
  <conditionalFormatting sqref="BB25:BB75">
    <cfRule type="dataBar" priority="172">
      <dataBar>
        <cfvo type="min"/>
        <cfvo type="max"/>
        <color rgb="FF628DC4"/>
      </dataBar>
    </cfRule>
  </conditionalFormatting>
  <conditionalFormatting sqref="BB81:BB83">
    <cfRule type="dataBar" priority="238">
      <dataBar>
        <cfvo type="min"/>
        <cfvo type="max"/>
        <color rgb="FF628DC4"/>
      </dataBar>
    </cfRule>
  </conditionalFormatting>
  <conditionalFormatting sqref="BB89:BB92">
    <cfRule type="dataBar" priority="304">
      <dataBar>
        <cfvo type="min"/>
        <cfvo type="max"/>
        <color rgb="FF628DC4"/>
      </dataBar>
    </cfRule>
  </conditionalFormatting>
  <conditionalFormatting sqref="BB98:BB108">
    <cfRule type="dataBar" priority="370">
      <dataBar>
        <cfvo type="min"/>
        <cfvo type="max"/>
        <color rgb="FF628DC4"/>
      </dataBar>
    </cfRule>
  </conditionalFormatting>
  <conditionalFormatting sqref="BB114:BB120">
    <cfRule type="dataBar" priority="436">
      <dataBar>
        <cfvo type="min"/>
        <cfvo type="max"/>
        <color rgb="FF628DC4"/>
      </dataBar>
    </cfRule>
  </conditionalFormatting>
  <conditionalFormatting sqref="BB126:BB130">
    <cfRule type="dataBar" priority="502">
      <dataBar>
        <cfvo type="min"/>
        <cfvo type="max"/>
        <color rgb="FF628DC4"/>
      </dataBar>
    </cfRule>
  </conditionalFormatting>
  <conditionalFormatting sqref="BB136:BB142">
    <cfRule type="dataBar" priority="568">
      <dataBar>
        <cfvo type="min"/>
        <cfvo type="max"/>
        <color rgb="FF628DC4"/>
      </dataBar>
    </cfRule>
  </conditionalFormatting>
  <conditionalFormatting sqref="BB148:BB154">
    <cfRule type="dataBar" priority="634">
      <dataBar>
        <cfvo type="min"/>
        <cfvo type="max"/>
        <color rgb="FF628DC4"/>
      </dataBar>
    </cfRule>
  </conditionalFormatting>
  <conditionalFormatting sqref="BB160:BB237">
    <cfRule type="dataBar" priority="700">
      <dataBar>
        <cfvo type="min"/>
        <cfvo type="max"/>
        <color rgb="FF628DC4"/>
      </dataBar>
    </cfRule>
  </conditionalFormatting>
  <conditionalFormatting sqref="BB243:BB320">
    <cfRule type="dataBar" priority="766">
      <dataBar>
        <cfvo type="min"/>
        <cfvo type="max"/>
        <color rgb="FF628DC4"/>
      </dataBar>
    </cfRule>
  </conditionalFormatting>
  <conditionalFormatting sqref="BB326:BB329">
    <cfRule type="dataBar" priority="832">
      <dataBar>
        <cfvo type="min"/>
        <cfvo type="max"/>
        <color rgb="FF628DC4"/>
      </dataBar>
    </cfRule>
  </conditionalFormatting>
  <conditionalFormatting sqref="BB335:BB341">
    <cfRule type="dataBar" priority="898">
      <dataBar>
        <cfvo type="min"/>
        <cfvo type="max"/>
        <color rgb="FF628DC4"/>
      </dataBar>
    </cfRule>
  </conditionalFormatting>
  <conditionalFormatting sqref="BB347:BB351">
    <cfRule type="dataBar" priority="964">
      <dataBar>
        <cfvo type="min"/>
        <cfvo type="max"/>
        <color rgb="FF628DC4"/>
      </dataBar>
    </cfRule>
  </conditionalFormatting>
  <conditionalFormatting sqref="BB357:BB360">
    <cfRule type="dataBar" priority="1030">
      <dataBar>
        <cfvo type="min"/>
        <cfvo type="max"/>
        <color rgb="FF628DC4"/>
      </dataBar>
    </cfRule>
  </conditionalFormatting>
  <conditionalFormatting sqref="BB366:BB372">
    <cfRule type="dataBar" priority="1096">
      <dataBar>
        <cfvo type="min"/>
        <cfvo type="max"/>
        <color rgb="FF628DC4"/>
      </dataBar>
    </cfRule>
  </conditionalFormatting>
  <conditionalFormatting sqref="BB378:BB382">
    <cfRule type="dataBar" priority="1162">
      <dataBar>
        <cfvo type="min"/>
        <cfvo type="max"/>
        <color rgb="FF628DC4"/>
      </dataBar>
    </cfRule>
  </conditionalFormatting>
  <conditionalFormatting sqref="BB388:BB391">
    <cfRule type="dataBar" priority="1228">
      <dataBar>
        <cfvo type="min"/>
        <cfvo type="max"/>
        <color rgb="FF628DC4"/>
      </dataBar>
    </cfRule>
  </conditionalFormatting>
  <conditionalFormatting sqref="BB397:BB403">
    <cfRule type="dataBar" priority="1294">
      <dataBar>
        <cfvo type="min"/>
        <cfvo type="max"/>
        <color rgb="FF628DC4"/>
      </dataBar>
    </cfRule>
  </conditionalFormatting>
  <conditionalFormatting sqref="BB409:BB413">
    <cfRule type="dataBar" priority="1360">
      <dataBar>
        <cfvo type="min"/>
        <cfvo type="max"/>
        <color rgb="FF628DC4"/>
      </dataBar>
    </cfRule>
  </conditionalFormatting>
  <conditionalFormatting sqref="BB419:BB422">
    <cfRule type="dataBar" priority="1426">
      <dataBar>
        <cfvo type="min"/>
        <cfvo type="max"/>
        <color rgb="FF628DC4"/>
      </dataBar>
    </cfRule>
  </conditionalFormatting>
  <conditionalFormatting sqref="BB428:BB434">
    <cfRule type="dataBar" priority="1492">
      <dataBar>
        <cfvo type="min"/>
        <cfvo type="max"/>
        <color rgb="FF628DC4"/>
      </dataBar>
    </cfRule>
  </conditionalFormatting>
  <conditionalFormatting sqref="BB440:BB444">
    <cfRule type="dataBar" priority="1558">
      <dataBar>
        <cfvo type="min"/>
        <cfvo type="max"/>
        <color rgb="FF628DC4"/>
      </dataBar>
    </cfRule>
  </conditionalFormatting>
  <conditionalFormatting sqref="BB450:BB453">
    <cfRule type="dataBar" priority="1624">
      <dataBar>
        <cfvo type="min"/>
        <cfvo type="max"/>
        <color rgb="FF628DC4"/>
      </dataBar>
    </cfRule>
  </conditionalFormatting>
  <conditionalFormatting sqref="BB459:BB465">
    <cfRule type="dataBar" priority="1690">
      <dataBar>
        <cfvo type="min"/>
        <cfvo type="max"/>
        <color rgb="FF628DC4"/>
      </dataBar>
    </cfRule>
  </conditionalFormatting>
  <conditionalFormatting sqref="BB471:BB475">
    <cfRule type="dataBar" priority="1756">
      <dataBar>
        <cfvo type="min"/>
        <cfvo type="max"/>
        <color rgb="FF628DC4"/>
      </dataBar>
    </cfRule>
  </conditionalFormatting>
  <conditionalFormatting sqref="BB481:BB483">
    <cfRule type="dataBar" priority="1822">
      <dataBar>
        <cfvo type="min"/>
        <cfvo type="max"/>
        <color rgb="FF628DC4"/>
      </dataBar>
    </cfRule>
  </conditionalFormatting>
  <conditionalFormatting sqref="BB489:BB600">
    <cfRule type="dataBar" priority="1888">
      <dataBar>
        <cfvo type="min"/>
        <cfvo type="max"/>
        <color rgb="FF628DC4"/>
      </dataBar>
    </cfRule>
  </conditionalFormatting>
  <conditionalFormatting sqref="BB606:BB613">
    <cfRule type="dataBar" priority="1954">
      <dataBar>
        <cfvo type="min"/>
        <cfvo type="max"/>
        <color rgb="FF628DC4"/>
      </dataBar>
    </cfRule>
  </conditionalFormatting>
  <conditionalFormatting sqref="BB619:BB626">
    <cfRule type="dataBar" priority="2020">
      <dataBar>
        <cfvo type="min"/>
        <cfvo type="max"/>
        <color rgb="FF628DC4"/>
      </dataBar>
    </cfRule>
  </conditionalFormatting>
  <conditionalFormatting sqref="BC6:BC8">
    <cfRule type="dataBar" priority="41">
      <dataBar>
        <cfvo type="min"/>
        <cfvo type="max"/>
        <color rgb="FFFFB628"/>
      </dataBar>
    </cfRule>
  </conditionalFormatting>
  <conditionalFormatting sqref="BC14:BC19">
    <cfRule type="dataBar" priority="107">
      <dataBar>
        <cfvo type="min"/>
        <cfvo type="max"/>
        <color rgb="FFFFB628"/>
      </dataBar>
    </cfRule>
  </conditionalFormatting>
  <conditionalFormatting sqref="BC25:BC75">
    <cfRule type="dataBar" priority="173">
      <dataBar>
        <cfvo type="min"/>
        <cfvo type="max"/>
        <color rgb="FFFFB628"/>
      </dataBar>
    </cfRule>
  </conditionalFormatting>
  <conditionalFormatting sqref="BC81:BC83">
    <cfRule type="dataBar" priority="239">
      <dataBar>
        <cfvo type="min"/>
        <cfvo type="max"/>
        <color rgb="FFFFB628"/>
      </dataBar>
    </cfRule>
  </conditionalFormatting>
  <conditionalFormatting sqref="BC89:BC92">
    <cfRule type="dataBar" priority="305">
      <dataBar>
        <cfvo type="min"/>
        <cfvo type="max"/>
        <color rgb="FFFFB628"/>
      </dataBar>
    </cfRule>
  </conditionalFormatting>
  <conditionalFormatting sqref="BC98:BC108">
    <cfRule type="dataBar" priority="371">
      <dataBar>
        <cfvo type="min"/>
        <cfvo type="max"/>
        <color rgb="FFFFB628"/>
      </dataBar>
    </cfRule>
  </conditionalFormatting>
  <conditionalFormatting sqref="BC114:BC120">
    <cfRule type="dataBar" priority="437">
      <dataBar>
        <cfvo type="min"/>
        <cfvo type="max"/>
        <color rgb="FFFFB628"/>
      </dataBar>
    </cfRule>
  </conditionalFormatting>
  <conditionalFormatting sqref="BC126:BC130">
    <cfRule type="dataBar" priority="503">
      <dataBar>
        <cfvo type="min"/>
        <cfvo type="max"/>
        <color rgb="FFFFB628"/>
      </dataBar>
    </cfRule>
  </conditionalFormatting>
  <conditionalFormatting sqref="BC136:BC142">
    <cfRule type="dataBar" priority="569">
      <dataBar>
        <cfvo type="min"/>
        <cfvo type="max"/>
        <color rgb="FFFFB628"/>
      </dataBar>
    </cfRule>
  </conditionalFormatting>
  <conditionalFormatting sqref="BC148:BC154">
    <cfRule type="dataBar" priority="635">
      <dataBar>
        <cfvo type="min"/>
        <cfvo type="max"/>
        <color rgb="FFFFB628"/>
      </dataBar>
    </cfRule>
  </conditionalFormatting>
  <conditionalFormatting sqref="BC160:BC237">
    <cfRule type="dataBar" priority="701">
      <dataBar>
        <cfvo type="min"/>
        <cfvo type="max"/>
        <color rgb="FFFFB628"/>
      </dataBar>
    </cfRule>
  </conditionalFormatting>
  <conditionalFormatting sqref="BC243:BC320">
    <cfRule type="dataBar" priority="767">
      <dataBar>
        <cfvo type="min"/>
        <cfvo type="max"/>
        <color rgb="FFFFB628"/>
      </dataBar>
    </cfRule>
  </conditionalFormatting>
  <conditionalFormatting sqref="BC326:BC329">
    <cfRule type="dataBar" priority="833">
      <dataBar>
        <cfvo type="min"/>
        <cfvo type="max"/>
        <color rgb="FFFFB628"/>
      </dataBar>
    </cfRule>
  </conditionalFormatting>
  <conditionalFormatting sqref="BC335:BC341">
    <cfRule type="dataBar" priority="899">
      <dataBar>
        <cfvo type="min"/>
        <cfvo type="max"/>
        <color rgb="FFFFB628"/>
      </dataBar>
    </cfRule>
  </conditionalFormatting>
  <conditionalFormatting sqref="BC347:BC351">
    <cfRule type="dataBar" priority="965">
      <dataBar>
        <cfvo type="min"/>
        <cfvo type="max"/>
        <color rgb="FFFFB628"/>
      </dataBar>
    </cfRule>
  </conditionalFormatting>
  <conditionalFormatting sqref="BC357:BC360">
    <cfRule type="dataBar" priority="1031">
      <dataBar>
        <cfvo type="min"/>
        <cfvo type="max"/>
        <color rgb="FFFFB628"/>
      </dataBar>
    </cfRule>
  </conditionalFormatting>
  <conditionalFormatting sqref="BC366:BC372">
    <cfRule type="dataBar" priority="1097">
      <dataBar>
        <cfvo type="min"/>
        <cfvo type="max"/>
        <color rgb="FFFFB628"/>
      </dataBar>
    </cfRule>
  </conditionalFormatting>
  <conditionalFormatting sqref="BC378:BC382">
    <cfRule type="dataBar" priority="1163">
      <dataBar>
        <cfvo type="min"/>
        <cfvo type="max"/>
        <color rgb="FFFFB628"/>
      </dataBar>
    </cfRule>
  </conditionalFormatting>
  <conditionalFormatting sqref="BC388:BC391">
    <cfRule type="dataBar" priority="1229">
      <dataBar>
        <cfvo type="min"/>
        <cfvo type="max"/>
        <color rgb="FFFFB628"/>
      </dataBar>
    </cfRule>
  </conditionalFormatting>
  <conditionalFormatting sqref="BC397:BC403">
    <cfRule type="dataBar" priority="1295">
      <dataBar>
        <cfvo type="min"/>
        <cfvo type="max"/>
        <color rgb="FFFFB628"/>
      </dataBar>
    </cfRule>
  </conditionalFormatting>
  <conditionalFormatting sqref="BC409:BC413">
    <cfRule type="dataBar" priority="1361">
      <dataBar>
        <cfvo type="min"/>
        <cfvo type="max"/>
        <color rgb="FFFFB628"/>
      </dataBar>
    </cfRule>
  </conditionalFormatting>
  <conditionalFormatting sqref="BC419:BC422">
    <cfRule type="dataBar" priority="1427">
      <dataBar>
        <cfvo type="min"/>
        <cfvo type="max"/>
        <color rgb="FFFFB628"/>
      </dataBar>
    </cfRule>
  </conditionalFormatting>
  <conditionalFormatting sqref="BC428:BC434">
    <cfRule type="dataBar" priority="1493">
      <dataBar>
        <cfvo type="min"/>
        <cfvo type="max"/>
        <color rgb="FFFFB628"/>
      </dataBar>
    </cfRule>
  </conditionalFormatting>
  <conditionalFormatting sqref="BC440:BC444">
    <cfRule type="dataBar" priority="1559">
      <dataBar>
        <cfvo type="min"/>
        <cfvo type="max"/>
        <color rgb="FFFFB628"/>
      </dataBar>
    </cfRule>
  </conditionalFormatting>
  <conditionalFormatting sqref="BC450:BC453">
    <cfRule type="dataBar" priority="1625">
      <dataBar>
        <cfvo type="min"/>
        <cfvo type="max"/>
        <color rgb="FFFFB628"/>
      </dataBar>
    </cfRule>
  </conditionalFormatting>
  <conditionalFormatting sqref="BC459:BC465">
    <cfRule type="dataBar" priority="1691">
      <dataBar>
        <cfvo type="min"/>
        <cfvo type="max"/>
        <color rgb="FFFFB628"/>
      </dataBar>
    </cfRule>
  </conditionalFormatting>
  <conditionalFormatting sqref="BC471:BC475">
    <cfRule type="dataBar" priority="1757">
      <dataBar>
        <cfvo type="min"/>
        <cfvo type="max"/>
        <color rgb="FFFFB628"/>
      </dataBar>
    </cfRule>
  </conditionalFormatting>
  <conditionalFormatting sqref="BC481:BC483">
    <cfRule type="dataBar" priority="1823">
      <dataBar>
        <cfvo type="min"/>
        <cfvo type="max"/>
        <color rgb="FFFFB628"/>
      </dataBar>
    </cfRule>
  </conditionalFormatting>
  <conditionalFormatting sqref="BC489:BC600">
    <cfRule type="dataBar" priority="1889">
      <dataBar>
        <cfvo type="min"/>
        <cfvo type="max"/>
        <color rgb="FFFFB628"/>
      </dataBar>
    </cfRule>
  </conditionalFormatting>
  <conditionalFormatting sqref="BC606:BC613">
    <cfRule type="dataBar" priority="1955">
      <dataBar>
        <cfvo type="min"/>
        <cfvo type="max"/>
        <color rgb="FFFFB628"/>
      </dataBar>
    </cfRule>
  </conditionalFormatting>
  <conditionalFormatting sqref="BC619:BC626">
    <cfRule type="dataBar" priority="2021">
      <dataBar>
        <cfvo type="min"/>
        <cfvo type="max"/>
        <color rgb="FFFFB628"/>
      </dataBar>
    </cfRule>
  </conditionalFormatting>
  <conditionalFormatting sqref="BD6:BD8">
    <cfRule type="dataBar" priority="42">
      <dataBar>
        <cfvo type="min"/>
        <cfvo type="max"/>
        <color rgb="FFF08D5B"/>
      </dataBar>
    </cfRule>
  </conditionalFormatting>
  <conditionalFormatting sqref="BD14:BD19">
    <cfRule type="dataBar" priority="108">
      <dataBar>
        <cfvo type="min"/>
        <cfvo type="max"/>
        <color rgb="FFF08D5B"/>
      </dataBar>
    </cfRule>
  </conditionalFormatting>
  <conditionalFormatting sqref="BD25:BD75">
    <cfRule type="dataBar" priority="174">
      <dataBar>
        <cfvo type="min"/>
        <cfvo type="max"/>
        <color rgb="FFF08D5B"/>
      </dataBar>
    </cfRule>
  </conditionalFormatting>
  <conditionalFormatting sqref="BD81:BD83">
    <cfRule type="dataBar" priority="240">
      <dataBar>
        <cfvo type="min"/>
        <cfvo type="max"/>
        <color rgb="FFF08D5B"/>
      </dataBar>
    </cfRule>
  </conditionalFormatting>
  <conditionalFormatting sqref="BD89:BD92">
    <cfRule type="dataBar" priority="306">
      <dataBar>
        <cfvo type="min"/>
        <cfvo type="max"/>
        <color rgb="FFF08D5B"/>
      </dataBar>
    </cfRule>
  </conditionalFormatting>
  <conditionalFormatting sqref="BD98:BD108">
    <cfRule type="dataBar" priority="372">
      <dataBar>
        <cfvo type="min"/>
        <cfvo type="max"/>
        <color rgb="FFF08D5B"/>
      </dataBar>
    </cfRule>
  </conditionalFormatting>
  <conditionalFormatting sqref="BD114:BD120">
    <cfRule type="dataBar" priority="438">
      <dataBar>
        <cfvo type="min"/>
        <cfvo type="max"/>
        <color rgb="FFF08D5B"/>
      </dataBar>
    </cfRule>
  </conditionalFormatting>
  <conditionalFormatting sqref="BD126:BD130">
    <cfRule type="dataBar" priority="504">
      <dataBar>
        <cfvo type="min"/>
        <cfvo type="max"/>
        <color rgb="FFF08D5B"/>
      </dataBar>
    </cfRule>
  </conditionalFormatting>
  <conditionalFormatting sqref="BD136:BD142">
    <cfRule type="dataBar" priority="570">
      <dataBar>
        <cfvo type="min"/>
        <cfvo type="max"/>
        <color rgb="FFF08D5B"/>
      </dataBar>
    </cfRule>
  </conditionalFormatting>
  <conditionalFormatting sqref="BD148:BD154">
    <cfRule type="dataBar" priority="636">
      <dataBar>
        <cfvo type="min"/>
        <cfvo type="max"/>
        <color rgb="FFF08D5B"/>
      </dataBar>
    </cfRule>
  </conditionalFormatting>
  <conditionalFormatting sqref="BD160:BD237">
    <cfRule type="dataBar" priority="702">
      <dataBar>
        <cfvo type="min"/>
        <cfvo type="max"/>
        <color rgb="FFF08D5B"/>
      </dataBar>
    </cfRule>
  </conditionalFormatting>
  <conditionalFormatting sqref="BD243:BD320">
    <cfRule type="dataBar" priority="768">
      <dataBar>
        <cfvo type="min"/>
        <cfvo type="max"/>
        <color rgb="FFF08D5B"/>
      </dataBar>
    </cfRule>
  </conditionalFormatting>
  <conditionalFormatting sqref="BD326:BD329">
    <cfRule type="dataBar" priority="834">
      <dataBar>
        <cfvo type="min"/>
        <cfvo type="max"/>
        <color rgb="FFF08D5B"/>
      </dataBar>
    </cfRule>
  </conditionalFormatting>
  <conditionalFormatting sqref="BD335:BD341">
    <cfRule type="dataBar" priority="900">
      <dataBar>
        <cfvo type="min"/>
        <cfvo type="max"/>
        <color rgb="FFF08D5B"/>
      </dataBar>
    </cfRule>
  </conditionalFormatting>
  <conditionalFormatting sqref="BD347:BD351">
    <cfRule type="dataBar" priority="966">
      <dataBar>
        <cfvo type="min"/>
        <cfvo type="max"/>
        <color rgb="FFF08D5B"/>
      </dataBar>
    </cfRule>
  </conditionalFormatting>
  <conditionalFormatting sqref="BD357:BD360">
    <cfRule type="dataBar" priority="1032">
      <dataBar>
        <cfvo type="min"/>
        <cfvo type="max"/>
        <color rgb="FFF08D5B"/>
      </dataBar>
    </cfRule>
  </conditionalFormatting>
  <conditionalFormatting sqref="BD366:BD372">
    <cfRule type="dataBar" priority="1098">
      <dataBar>
        <cfvo type="min"/>
        <cfvo type="max"/>
        <color rgb="FFF08D5B"/>
      </dataBar>
    </cfRule>
  </conditionalFormatting>
  <conditionalFormatting sqref="BD378:BD382">
    <cfRule type="dataBar" priority="1164">
      <dataBar>
        <cfvo type="min"/>
        <cfvo type="max"/>
        <color rgb="FFF08D5B"/>
      </dataBar>
    </cfRule>
  </conditionalFormatting>
  <conditionalFormatting sqref="BD388:BD391">
    <cfRule type="dataBar" priority="1230">
      <dataBar>
        <cfvo type="min"/>
        <cfvo type="max"/>
        <color rgb="FFF08D5B"/>
      </dataBar>
    </cfRule>
  </conditionalFormatting>
  <conditionalFormatting sqref="BD397:BD403">
    <cfRule type="dataBar" priority="1296">
      <dataBar>
        <cfvo type="min"/>
        <cfvo type="max"/>
        <color rgb="FFF08D5B"/>
      </dataBar>
    </cfRule>
  </conditionalFormatting>
  <conditionalFormatting sqref="BD409:BD413">
    <cfRule type="dataBar" priority="1362">
      <dataBar>
        <cfvo type="min"/>
        <cfvo type="max"/>
        <color rgb="FFF08D5B"/>
      </dataBar>
    </cfRule>
  </conditionalFormatting>
  <conditionalFormatting sqref="BD419:BD422">
    <cfRule type="dataBar" priority="1428">
      <dataBar>
        <cfvo type="min"/>
        <cfvo type="max"/>
        <color rgb="FFF08D5B"/>
      </dataBar>
    </cfRule>
  </conditionalFormatting>
  <conditionalFormatting sqref="BD428:BD434">
    <cfRule type="dataBar" priority="1494">
      <dataBar>
        <cfvo type="min"/>
        <cfvo type="max"/>
        <color rgb="FFF08D5B"/>
      </dataBar>
    </cfRule>
  </conditionalFormatting>
  <conditionalFormatting sqref="BD440:BD444">
    <cfRule type="dataBar" priority="1560">
      <dataBar>
        <cfvo type="min"/>
        <cfvo type="max"/>
        <color rgb="FFF08D5B"/>
      </dataBar>
    </cfRule>
  </conditionalFormatting>
  <conditionalFormatting sqref="BD450:BD453">
    <cfRule type="dataBar" priority="1626">
      <dataBar>
        <cfvo type="min"/>
        <cfvo type="max"/>
        <color rgb="FFF08D5B"/>
      </dataBar>
    </cfRule>
  </conditionalFormatting>
  <conditionalFormatting sqref="BD459:BD465">
    <cfRule type="dataBar" priority="1692">
      <dataBar>
        <cfvo type="min"/>
        <cfvo type="max"/>
        <color rgb="FFF08D5B"/>
      </dataBar>
    </cfRule>
  </conditionalFormatting>
  <conditionalFormatting sqref="BD471:BD475">
    <cfRule type="dataBar" priority="1758">
      <dataBar>
        <cfvo type="min"/>
        <cfvo type="max"/>
        <color rgb="FFF08D5B"/>
      </dataBar>
    </cfRule>
  </conditionalFormatting>
  <conditionalFormatting sqref="BD481:BD483">
    <cfRule type="dataBar" priority="1824">
      <dataBar>
        <cfvo type="min"/>
        <cfvo type="max"/>
        <color rgb="FFF08D5B"/>
      </dataBar>
    </cfRule>
  </conditionalFormatting>
  <conditionalFormatting sqref="BD489:BD600">
    <cfRule type="dataBar" priority="1890">
      <dataBar>
        <cfvo type="min"/>
        <cfvo type="max"/>
        <color rgb="FFF08D5B"/>
      </dataBar>
    </cfRule>
  </conditionalFormatting>
  <conditionalFormatting sqref="BD606:BD613">
    <cfRule type="dataBar" priority="1956">
      <dataBar>
        <cfvo type="min"/>
        <cfvo type="max"/>
        <color rgb="FFF08D5B"/>
      </dataBar>
    </cfRule>
  </conditionalFormatting>
  <conditionalFormatting sqref="BD619:BD626">
    <cfRule type="dataBar" priority="2022">
      <dataBar>
        <cfvo type="min"/>
        <cfvo type="max"/>
        <color rgb="FFF08D5B"/>
      </dataBar>
    </cfRule>
  </conditionalFormatting>
  <conditionalFormatting sqref="BF6:BF8">
    <cfRule type="dataBar" priority="43">
      <dataBar>
        <cfvo type="min"/>
        <cfvo type="max"/>
        <color rgb="FF628DC4"/>
      </dataBar>
    </cfRule>
  </conditionalFormatting>
  <conditionalFormatting sqref="BF14:BF19">
    <cfRule type="dataBar" priority="109">
      <dataBar>
        <cfvo type="min"/>
        <cfvo type="max"/>
        <color rgb="FF628DC4"/>
      </dataBar>
    </cfRule>
  </conditionalFormatting>
  <conditionalFormatting sqref="BF25:BF75">
    <cfRule type="dataBar" priority="175">
      <dataBar>
        <cfvo type="min"/>
        <cfvo type="max"/>
        <color rgb="FF628DC4"/>
      </dataBar>
    </cfRule>
  </conditionalFormatting>
  <conditionalFormatting sqref="BF81:BF83">
    <cfRule type="dataBar" priority="241">
      <dataBar>
        <cfvo type="min"/>
        <cfvo type="max"/>
        <color rgb="FF628DC4"/>
      </dataBar>
    </cfRule>
  </conditionalFormatting>
  <conditionalFormatting sqref="BF89:BF92">
    <cfRule type="dataBar" priority="307">
      <dataBar>
        <cfvo type="min"/>
        <cfvo type="max"/>
        <color rgb="FF628DC4"/>
      </dataBar>
    </cfRule>
  </conditionalFormatting>
  <conditionalFormatting sqref="BF98:BF108">
    <cfRule type="dataBar" priority="373">
      <dataBar>
        <cfvo type="min"/>
        <cfvo type="max"/>
        <color rgb="FF628DC4"/>
      </dataBar>
    </cfRule>
  </conditionalFormatting>
  <conditionalFormatting sqref="BF114:BF120">
    <cfRule type="dataBar" priority="439">
      <dataBar>
        <cfvo type="min"/>
        <cfvo type="max"/>
        <color rgb="FF628DC4"/>
      </dataBar>
    </cfRule>
  </conditionalFormatting>
  <conditionalFormatting sqref="BF126:BF130">
    <cfRule type="dataBar" priority="505">
      <dataBar>
        <cfvo type="min"/>
        <cfvo type="max"/>
        <color rgb="FF628DC4"/>
      </dataBar>
    </cfRule>
  </conditionalFormatting>
  <conditionalFormatting sqref="BF136:BF142">
    <cfRule type="dataBar" priority="571">
      <dataBar>
        <cfvo type="min"/>
        <cfvo type="max"/>
        <color rgb="FF628DC4"/>
      </dataBar>
    </cfRule>
  </conditionalFormatting>
  <conditionalFormatting sqref="BF148:BF154">
    <cfRule type="dataBar" priority="637">
      <dataBar>
        <cfvo type="min"/>
        <cfvo type="max"/>
        <color rgb="FF628DC4"/>
      </dataBar>
    </cfRule>
  </conditionalFormatting>
  <conditionalFormatting sqref="BF160:BF237">
    <cfRule type="dataBar" priority="703">
      <dataBar>
        <cfvo type="min"/>
        <cfvo type="max"/>
        <color rgb="FF628DC4"/>
      </dataBar>
    </cfRule>
  </conditionalFormatting>
  <conditionalFormatting sqref="BF243:BF320">
    <cfRule type="dataBar" priority="769">
      <dataBar>
        <cfvo type="min"/>
        <cfvo type="max"/>
        <color rgb="FF628DC4"/>
      </dataBar>
    </cfRule>
  </conditionalFormatting>
  <conditionalFormatting sqref="BF326:BF329">
    <cfRule type="dataBar" priority="835">
      <dataBar>
        <cfvo type="min"/>
        <cfvo type="max"/>
        <color rgb="FF628DC4"/>
      </dataBar>
    </cfRule>
  </conditionalFormatting>
  <conditionalFormatting sqref="BF335:BF341">
    <cfRule type="dataBar" priority="901">
      <dataBar>
        <cfvo type="min"/>
        <cfvo type="max"/>
        <color rgb="FF628DC4"/>
      </dataBar>
    </cfRule>
  </conditionalFormatting>
  <conditionalFormatting sqref="BF347:BF351">
    <cfRule type="dataBar" priority="967">
      <dataBar>
        <cfvo type="min"/>
        <cfvo type="max"/>
        <color rgb="FF628DC4"/>
      </dataBar>
    </cfRule>
  </conditionalFormatting>
  <conditionalFormatting sqref="BF357:BF360">
    <cfRule type="dataBar" priority="1033">
      <dataBar>
        <cfvo type="min"/>
        <cfvo type="max"/>
        <color rgb="FF628DC4"/>
      </dataBar>
    </cfRule>
  </conditionalFormatting>
  <conditionalFormatting sqref="BF366:BF372">
    <cfRule type="dataBar" priority="1099">
      <dataBar>
        <cfvo type="min"/>
        <cfvo type="max"/>
        <color rgb="FF628DC4"/>
      </dataBar>
    </cfRule>
  </conditionalFormatting>
  <conditionalFormatting sqref="BF378:BF382">
    <cfRule type="dataBar" priority="1165">
      <dataBar>
        <cfvo type="min"/>
        <cfvo type="max"/>
        <color rgb="FF628DC4"/>
      </dataBar>
    </cfRule>
  </conditionalFormatting>
  <conditionalFormatting sqref="BF388:BF391">
    <cfRule type="dataBar" priority="1231">
      <dataBar>
        <cfvo type="min"/>
        <cfvo type="max"/>
        <color rgb="FF628DC4"/>
      </dataBar>
    </cfRule>
  </conditionalFormatting>
  <conditionalFormatting sqref="BF397:BF403">
    <cfRule type="dataBar" priority="1297">
      <dataBar>
        <cfvo type="min"/>
        <cfvo type="max"/>
        <color rgb="FF628DC4"/>
      </dataBar>
    </cfRule>
  </conditionalFormatting>
  <conditionalFormatting sqref="BF409:BF413">
    <cfRule type="dataBar" priority="1363">
      <dataBar>
        <cfvo type="min"/>
        <cfvo type="max"/>
        <color rgb="FF628DC4"/>
      </dataBar>
    </cfRule>
  </conditionalFormatting>
  <conditionalFormatting sqref="BF419:BF422">
    <cfRule type="dataBar" priority="1429">
      <dataBar>
        <cfvo type="min"/>
        <cfvo type="max"/>
        <color rgb="FF628DC4"/>
      </dataBar>
    </cfRule>
  </conditionalFormatting>
  <conditionalFormatting sqref="BF428:BF434">
    <cfRule type="dataBar" priority="1495">
      <dataBar>
        <cfvo type="min"/>
        <cfvo type="max"/>
        <color rgb="FF628DC4"/>
      </dataBar>
    </cfRule>
  </conditionalFormatting>
  <conditionalFormatting sqref="BF440:BF444">
    <cfRule type="dataBar" priority="1561">
      <dataBar>
        <cfvo type="min"/>
        <cfvo type="max"/>
        <color rgb="FF628DC4"/>
      </dataBar>
    </cfRule>
  </conditionalFormatting>
  <conditionalFormatting sqref="BF450:BF453">
    <cfRule type="dataBar" priority="1627">
      <dataBar>
        <cfvo type="min"/>
        <cfvo type="max"/>
        <color rgb="FF628DC4"/>
      </dataBar>
    </cfRule>
  </conditionalFormatting>
  <conditionalFormatting sqref="BF459:BF465">
    <cfRule type="dataBar" priority="1693">
      <dataBar>
        <cfvo type="min"/>
        <cfvo type="max"/>
        <color rgb="FF628DC4"/>
      </dataBar>
    </cfRule>
  </conditionalFormatting>
  <conditionalFormatting sqref="BF471:BF475">
    <cfRule type="dataBar" priority="1759">
      <dataBar>
        <cfvo type="min"/>
        <cfvo type="max"/>
        <color rgb="FF628DC4"/>
      </dataBar>
    </cfRule>
  </conditionalFormatting>
  <conditionalFormatting sqref="BF481:BF483">
    <cfRule type="dataBar" priority="1825">
      <dataBar>
        <cfvo type="min"/>
        <cfvo type="max"/>
        <color rgb="FF628DC4"/>
      </dataBar>
    </cfRule>
  </conditionalFormatting>
  <conditionalFormatting sqref="BF489:BF600">
    <cfRule type="dataBar" priority="1891">
      <dataBar>
        <cfvo type="min"/>
        <cfvo type="max"/>
        <color rgb="FF628DC4"/>
      </dataBar>
    </cfRule>
  </conditionalFormatting>
  <conditionalFormatting sqref="BF606:BF613">
    <cfRule type="dataBar" priority="1957">
      <dataBar>
        <cfvo type="min"/>
        <cfvo type="max"/>
        <color rgb="FF628DC4"/>
      </dataBar>
    </cfRule>
  </conditionalFormatting>
  <conditionalFormatting sqref="BF619:BF626">
    <cfRule type="dataBar" priority="2023">
      <dataBar>
        <cfvo type="min"/>
        <cfvo type="max"/>
        <color rgb="FF628DC4"/>
      </dataBar>
    </cfRule>
  </conditionalFormatting>
  <conditionalFormatting sqref="BG6:BG8">
    <cfRule type="dataBar" priority="44">
      <dataBar>
        <cfvo type="min"/>
        <cfvo type="max"/>
        <color rgb="FFFFB628"/>
      </dataBar>
    </cfRule>
  </conditionalFormatting>
  <conditionalFormatting sqref="BG14:BG19">
    <cfRule type="dataBar" priority="110">
      <dataBar>
        <cfvo type="min"/>
        <cfvo type="max"/>
        <color rgb="FFFFB628"/>
      </dataBar>
    </cfRule>
  </conditionalFormatting>
  <conditionalFormatting sqref="BG25:BG75">
    <cfRule type="dataBar" priority="176">
      <dataBar>
        <cfvo type="min"/>
        <cfvo type="max"/>
        <color rgb="FFFFB628"/>
      </dataBar>
    </cfRule>
  </conditionalFormatting>
  <conditionalFormatting sqref="BG81:BG83">
    <cfRule type="dataBar" priority="242">
      <dataBar>
        <cfvo type="min"/>
        <cfvo type="max"/>
        <color rgb="FFFFB628"/>
      </dataBar>
    </cfRule>
  </conditionalFormatting>
  <conditionalFormatting sqref="BG89:BG92">
    <cfRule type="dataBar" priority="308">
      <dataBar>
        <cfvo type="min"/>
        <cfvo type="max"/>
        <color rgb="FFFFB628"/>
      </dataBar>
    </cfRule>
  </conditionalFormatting>
  <conditionalFormatting sqref="BG98:BG108">
    <cfRule type="dataBar" priority="374">
      <dataBar>
        <cfvo type="min"/>
        <cfvo type="max"/>
        <color rgb="FFFFB628"/>
      </dataBar>
    </cfRule>
  </conditionalFormatting>
  <conditionalFormatting sqref="BG114:BG120">
    <cfRule type="dataBar" priority="440">
      <dataBar>
        <cfvo type="min"/>
        <cfvo type="max"/>
        <color rgb="FFFFB628"/>
      </dataBar>
    </cfRule>
  </conditionalFormatting>
  <conditionalFormatting sqref="BG126:BG130">
    <cfRule type="dataBar" priority="506">
      <dataBar>
        <cfvo type="min"/>
        <cfvo type="max"/>
        <color rgb="FFFFB628"/>
      </dataBar>
    </cfRule>
  </conditionalFormatting>
  <conditionalFormatting sqref="BG136:BG142">
    <cfRule type="dataBar" priority="572">
      <dataBar>
        <cfvo type="min"/>
        <cfvo type="max"/>
        <color rgb="FFFFB628"/>
      </dataBar>
    </cfRule>
  </conditionalFormatting>
  <conditionalFormatting sqref="BG148:BG154">
    <cfRule type="dataBar" priority="638">
      <dataBar>
        <cfvo type="min"/>
        <cfvo type="max"/>
        <color rgb="FFFFB628"/>
      </dataBar>
    </cfRule>
  </conditionalFormatting>
  <conditionalFormatting sqref="BG160:BG237">
    <cfRule type="dataBar" priority="704">
      <dataBar>
        <cfvo type="min"/>
        <cfvo type="max"/>
        <color rgb="FFFFB628"/>
      </dataBar>
    </cfRule>
  </conditionalFormatting>
  <conditionalFormatting sqref="BG243:BG320">
    <cfRule type="dataBar" priority="770">
      <dataBar>
        <cfvo type="min"/>
        <cfvo type="max"/>
        <color rgb="FFFFB628"/>
      </dataBar>
    </cfRule>
  </conditionalFormatting>
  <conditionalFormatting sqref="BG326:BG329">
    <cfRule type="dataBar" priority="836">
      <dataBar>
        <cfvo type="min"/>
        <cfvo type="max"/>
        <color rgb="FFFFB628"/>
      </dataBar>
    </cfRule>
  </conditionalFormatting>
  <conditionalFormatting sqref="BG335:BG341">
    <cfRule type="dataBar" priority="902">
      <dataBar>
        <cfvo type="min"/>
        <cfvo type="max"/>
        <color rgb="FFFFB628"/>
      </dataBar>
    </cfRule>
  </conditionalFormatting>
  <conditionalFormatting sqref="BG347:BG351">
    <cfRule type="dataBar" priority="968">
      <dataBar>
        <cfvo type="min"/>
        <cfvo type="max"/>
        <color rgb="FFFFB628"/>
      </dataBar>
    </cfRule>
  </conditionalFormatting>
  <conditionalFormatting sqref="BG357:BG360">
    <cfRule type="dataBar" priority="1034">
      <dataBar>
        <cfvo type="min"/>
        <cfvo type="max"/>
        <color rgb="FFFFB628"/>
      </dataBar>
    </cfRule>
  </conditionalFormatting>
  <conditionalFormatting sqref="BG366:BG372">
    <cfRule type="dataBar" priority="1100">
      <dataBar>
        <cfvo type="min"/>
        <cfvo type="max"/>
        <color rgb="FFFFB628"/>
      </dataBar>
    </cfRule>
  </conditionalFormatting>
  <conditionalFormatting sqref="BG378:BG382">
    <cfRule type="dataBar" priority="1166">
      <dataBar>
        <cfvo type="min"/>
        <cfvo type="max"/>
        <color rgb="FFFFB628"/>
      </dataBar>
    </cfRule>
  </conditionalFormatting>
  <conditionalFormatting sqref="BG388:BG391">
    <cfRule type="dataBar" priority="1232">
      <dataBar>
        <cfvo type="min"/>
        <cfvo type="max"/>
        <color rgb="FFFFB628"/>
      </dataBar>
    </cfRule>
  </conditionalFormatting>
  <conditionalFormatting sqref="BG397:BG403">
    <cfRule type="dataBar" priority="1298">
      <dataBar>
        <cfvo type="min"/>
        <cfvo type="max"/>
        <color rgb="FFFFB628"/>
      </dataBar>
    </cfRule>
  </conditionalFormatting>
  <conditionalFormatting sqref="BG409:BG413">
    <cfRule type="dataBar" priority="1364">
      <dataBar>
        <cfvo type="min"/>
        <cfvo type="max"/>
        <color rgb="FFFFB628"/>
      </dataBar>
    </cfRule>
  </conditionalFormatting>
  <conditionalFormatting sqref="BG419:BG422">
    <cfRule type="dataBar" priority="1430">
      <dataBar>
        <cfvo type="min"/>
        <cfvo type="max"/>
        <color rgb="FFFFB628"/>
      </dataBar>
    </cfRule>
  </conditionalFormatting>
  <conditionalFormatting sqref="BG428:BG434">
    <cfRule type="dataBar" priority="1496">
      <dataBar>
        <cfvo type="min"/>
        <cfvo type="max"/>
        <color rgb="FFFFB628"/>
      </dataBar>
    </cfRule>
  </conditionalFormatting>
  <conditionalFormatting sqref="BG440:BG444">
    <cfRule type="dataBar" priority="1562">
      <dataBar>
        <cfvo type="min"/>
        <cfvo type="max"/>
        <color rgb="FFFFB628"/>
      </dataBar>
    </cfRule>
  </conditionalFormatting>
  <conditionalFormatting sqref="BG450:BG453">
    <cfRule type="dataBar" priority="1628">
      <dataBar>
        <cfvo type="min"/>
        <cfvo type="max"/>
        <color rgb="FFFFB628"/>
      </dataBar>
    </cfRule>
  </conditionalFormatting>
  <conditionalFormatting sqref="BG459:BG465">
    <cfRule type="dataBar" priority="1694">
      <dataBar>
        <cfvo type="min"/>
        <cfvo type="max"/>
        <color rgb="FFFFB628"/>
      </dataBar>
    </cfRule>
  </conditionalFormatting>
  <conditionalFormatting sqref="BG471:BG475">
    <cfRule type="dataBar" priority="1760">
      <dataBar>
        <cfvo type="min"/>
        <cfvo type="max"/>
        <color rgb="FFFFB628"/>
      </dataBar>
    </cfRule>
  </conditionalFormatting>
  <conditionalFormatting sqref="BG481:BG483">
    <cfRule type="dataBar" priority="1826">
      <dataBar>
        <cfvo type="min"/>
        <cfvo type="max"/>
        <color rgb="FFFFB628"/>
      </dataBar>
    </cfRule>
  </conditionalFormatting>
  <conditionalFormatting sqref="BG489:BG600">
    <cfRule type="dataBar" priority="1892">
      <dataBar>
        <cfvo type="min"/>
        <cfvo type="max"/>
        <color rgb="FFFFB628"/>
      </dataBar>
    </cfRule>
  </conditionalFormatting>
  <conditionalFormatting sqref="BG606:BG613">
    <cfRule type="dataBar" priority="1958">
      <dataBar>
        <cfvo type="min"/>
        <cfvo type="max"/>
        <color rgb="FFFFB628"/>
      </dataBar>
    </cfRule>
  </conditionalFormatting>
  <conditionalFormatting sqref="BG619:BG626">
    <cfRule type="dataBar" priority="2024">
      <dataBar>
        <cfvo type="min"/>
        <cfvo type="max"/>
        <color rgb="FFFFB628"/>
      </dataBar>
    </cfRule>
  </conditionalFormatting>
  <conditionalFormatting sqref="BH6:BH8">
    <cfRule type="dataBar" priority="45">
      <dataBar>
        <cfvo type="min"/>
        <cfvo type="max"/>
        <color rgb="FFF08D5B"/>
      </dataBar>
    </cfRule>
  </conditionalFormatting>
  <conditionalFormatting sqref="BH14:BH19">
    <cfRule type="dataBar" priority="111">
      <dataBar>
        <cfvo type="min"/>
        <cfvo type="max"/>
        <color rgb="FFF08D5B"/>
      </dataBar>
    </cfRule>
  </conditionalFormatting>
  <conditionalFormatting sqref="BH25:BH75">
    <cfRule type="dataBar" priority="177">
      <dataBar>
        <cfvo type="min"/>
        <cfvo type="max"/>
        <color rgb="FFF08D5B"/>
      </dataBar>
    </cfRule>
  </conditionalFormatting>
  <conditionalFormatting sqref="BH81:BH83">
    <cfRule type="dataBar" priority="243">
      <dataBar>
        <cfvo type="min"/>
        <cfvo type="max"/>
        <color rgb="FFF08D5B"/>
      </dataBar>
    </cfRule>
  </conditionalFormatting>
  <conditionalFormatting sqref="BH89:BH92">
    <cfRule type="dataBar" priority="309">
      <dataBar>
        <cfvo type="min"/>
        <cfvo type="max"/>
        <color rgb="FFF08D5B"/>
      </dataBar>
    </cfRule>
  </conditionalFormatting>
  <conditionalFormatting sqref="BH98:BH108">
    <cfRule type="dataBar" priority="375">
      <dataBar>
        <cfvo type="min"/>
        <cfvo type="max"/>
        <color rgb="FFF08D5B"/>
      </dataBar>
    </cfRule>
  </conditionalFormatting>
  <conditionalFormatting sqref="BH114:BH120">
    <cfRule type="dataBar" priority="441">
      <dataBar>
        <cfvo type="min"/>
        <cfvo type="max"/>
        <color rgb="FFF08D5B"/>
      </dataBar>
    </cfRule>
  </conditionalFormatting>
  <conditionalFormatting sqref="BH126:BH130">
    <cfRule type="dataBar" priority="507">
      <dataBar>
        <cfvo type="min"/>
        <cfvo type="max"/>
        <color rgb="FFF08D5B"/>
      </dataBar>
    </cfRule>
  </conditionalFormatting>
  <conditionalFormatting sqref="BH136:BH142">
    <cfRule type="dataBar" priority="573">
      <dataBar>
        <cfvo type="min"/>
        <cfvo type="max"/>
        <color rgb="FFF08D5B"/>
      </dataBar>
    </cfRule>
  </conditionalFormatting>
  <conditionalFormatting sqref="BH148:BH154">
    <cfRule type="dataBar" priority="639">
      <dataBar>
        <cfvo type="min"/>
        <cfvo type="max"/>
        <color rgb="FFF08D5B"/>
      </dataBar>
    </cfRule>
  </conditionalFormatting>
  <conditionalFormatting sqref="BH160:BH237">
    <cfRule type="dataBar" priority="705">
      <dataBar>
        <cfvo type="min"/>
        <cfvo type="max"/>
        <color rgb="FFF08D5B"/>
      </dataBar>
    </cfRule>
  </conditionalFormatting>
  <conditionalFormatting sqref="BH243:BH320">
    <cfRule type="dataBar" priority="771">
      <dataBar>
        <cfvo type="min"/>
        <cfvo type="max"/>
        <color rgb="FFF08D5B"/>
      </dataBar>
    </cfRule>
  </conditionalFormatting>
  <conditionalFormatting sqref="BH326:BH329">
    <cfRule type="dataBar" priority="837">
      <dataBar>
        <cfvo type="min"/>
        <cfvo type="max"/>
        <color rgb="FFF08D5B"/>
      </dataBar>
    </cfRule>
  </conditionalFormatting>
  <conditionalFormatting sqref="BH335:BH341">
    <cfRule type="dataBar" priority="903">
      <dataBar>
        <cfvo type="min"/>
        <cfvo type="max"/>
        <color rgb="FFF08D5B"/>
      </dataBar>
    </cfRule>
  </conditionalFormatting>
  <conditionalFormatting sqref="BH347:BH351">
    <cfRule type="dataBar" priority="969">
      <dataBar>
        <cfvo type="min"/>
        <cfvo type="max"/>
        <color rgb="FFF08D5B"/>
      </dataBar>
    </cfRule>
  </conditionalFormatting>
  <conditionalFormatting sqref="BH357:BH360">
    <cfRule type="dataBar" priority="1035">
      <dataBar>
        <cfvo type="min"/>
        <cfvo type="max"/>
        <color rgb="FFF08D5B"/>
      </dataBar>
    </cfRule>
  </conditionalFormatting>
  <conditionalFormatting sqref="BH366:BH372">
    <cfRule type="dataBar" priority="1101">
      <dataBar>
        <cfvo type="min"/>
        <cfvo type="max"/>
        <color rgb="FFF08D5B"/>
      </dataBar>
    </cfRule>
  </conditionalFormatting>
  <conditionalFormatting sqref="BH378:BH382">
    <cfRule type="dataBar" priority="1167">
      <dataBar>
        <cfvo type="min"/>
        <cfvo type="max"/>
        <color rgb="FFF08D5B"/>
      </dataBar>
    </cfRule>
  </conditionalFormatting>
  <conditionalFormatting sqref="BH388:BH391">
    <cfRule type="dataBar" priority="1233">
      <dataBar>
        <cfvo type="min"/>
        <cfvo type="max"/>
        <color rgb="FFF08D5B"/>
      </dataBar>
    </cfRule>
  </conditionalFormatting>
  <conditionalFormatting sqref="BH397:BH403">
    <cfRule type="dataBar" priority="1299">
      <dataBar>
        <cfvo type="min"/>
        <cfvo type="max"/>
        <color rgb="FFF08D5B"/>
      </dataBar>
    </cfRule>
  </conditionalFormatting>
  <conditionalFormatting sqref="BH409:BH413">
    <cfRule type="dataBar" priority="1365">
      <dataBar>
        <cfvo type="min"/>
        <cfvo type="max"/>
        <color rgb="FFF08D5B"/>
      </dataBar>
    </cfRule>
  </conditionalFormatting>
  <conditionalFormatting sqref="BH419:BH422">
    <cfRule type="dataBar" priority="1431">
      <dataBar>
        <cfvo type="min"/>
        <cfvo type="max"/>
        <color rgb="FFF08D5B"/>
      </dataBar>
    </cfRule>
  </conditionalFormatting>
  <conditionalFormatting sqref="BH428:BH434">
    <cfRule type="dataBar" priority="1497">
      <dataBar>
        <cfvo type="min"/>
        <cfvo type="max"/>
        <color rgb="FFF08D5B"/>
      </dataBar>
    </cfRule>
  </conditionalFormatting>
  <conditionalFormatting sqref="BH440:BH444">
    <cfRule type="dataBar" priority="1563">
      <dataBar>
        <cfvo type="min"/>
        <cfvo type="max"/>
        <color rgb="FFF08D5B"/>
      </dataBar>
    </cfRule>
  </conditionalFormatting>
  <conditionalFormatting sqref="BH450:BH453">
    <cfRule type="dataBar" priority="1629">
      <dataBar>
        <cfvo type="min"/>
        <cfvo type="max"/>
        <color rgb="FFF08D5B"/>
      </dataBar>
    </cfRule>
  </conditionalFormatting>
  <conditionalFormatting sqref="BH459:BH465">
    <cfRule type="dataBar" priority="1695">
      <dataBar>
        <cfvo type="min"/>
        <cfvo type="max"/>
        <color rgb="FFF08D5B"/>
      </dataBar>
    </cfRule>
  </conditionalFormatting>
  <conditionalFormatting sqref="BH471:BH475">
    <cfRule type="dataBar" priority="1761">
      <dataBar>
        <cfvo type="min"/>
        <cfvo type="max"/>
        <color rgb="FFF08D5B"/>
      </dataBar>
    </cfRule>
  </conditionalFormatting>
  <conditionalFormatting sqref="BH481:BH483">
    <cfRule type="dataBar" priority="1827">
      <dataBar>
        <cfvo type="min"/>
        <cfvo type="max"/>
        <color rgb="FFF08D5B"/>
      </dataBar>
    </cfRule>
  </conditionalFormatting>
  <conditionalFormatting sqref="BH489:BH600">
    <cfRule type="dataBar" priority="1893">
      <dataBar>
        <cfvo type="min"/>
        <cfvo type="max"/>
        <color rgb="FFF08D5B"/>
      </dataBar>
    </cfRule>
  </conditionalFormatting>
  <conditionalFormatting sqref="BH606:BH613">
    <cfRule type="dataBar" priority="1959">
      <dataBar>
        <cfvo type="min"/>
        <cfvo type="max"/>
        <color rgb="FFF08D5B"/>
      </dataBar>
    </cfRule>
  </conditionalFormatting>
  <conditionalFormatting sqref="BH619:BH626">
    <cfRule type="dataBar" priority="2025">
      <dataBar>
        <cfvo type="min"/>
        <cfvo type="max"/>
        <color rgb="FFF08D5B"/>
      </dataBar>
    </cfRule>
  </conditionalFormatting>
  <conditionalFormatting sqref="BJ6:BJ8">
    <cfRule type="dataBar" priority="46">
      <dataBar>
        <cfvo type="min"/>
        <cfvo type="max"/>
        <color rgb="FF628DC4"/>
      </dataBar>
    </cfRule>
  </conditionalFormatting>
  <conditionalFormatting sqref="BJ14:BJ19">
    <cfRule type="dataBar" priority="112">
      <dataBar>
        <cfvo type="min"/>
        <cfvo type="max"/>
        <color rgb="FF628DC4"/>
      </dataBar>
    </cfRule>
  </conditionalFormatting>
  <conditionalFormatting sqref="BJ25:BJ75">
    <cfRule type="dataBar" priority="178">
      <dataBar>
        <cfvo type="min"/>
        <cfvo type="max"/>
        <color rgb="FF628DC4"/>
      </dataBar>
    </cfRule>
  </conditionalFormatting>
  <conditionalFormatting sqref="BJ81:BJ83">
    <cfRule type="dataBar" priority="244">
      <dataBar>
        <cfvo type="min"/>
        <cfvo type="max"/>
        <color rgb="FF628DC4"/>
      </dataBar>
    </cfRule>
  </conditionalFormatting>
  <conditionalFormatting sqref="BJ89:BJ92">
    <cfRule type="dataBar" priority="310">
      <dataBar>
        <cfvo type="min"/>
        <cfvo type="max"/>
        <color rgb="FF628DC4"/>
      </dataBar>
    </cfRule>
  </conditionalFormatting>
  <conditionalFormatting sqref="BJ98:BJ108">
    <cfRule type="dataBar" priority="376">
      <dataBar>
        <cfvo type="min"/>
        <cfvo type="max"/>
        <color rgb="FF628DC4"/>
      </dataBar>
    </cfRule>
  </conditionalFormatting>
  <conditionalFormatting sqref="BJ114:BJ120">
    <cfRule type="dataBar" priority="442">
      <dataBar>
        <cfvo type="min"/>
        <cfvo type="max"/>
        <color rgb="FF628DC4"/>
      </dataBar>
    </cfRule>
  </conditionalFormatting>
  <conditionalFormatting sqref="BJ126:BJ130">
    <cfRule type="dataBar" priority="508">
      <dataBar>
        <cfvo type="min"/>
        <cfvo type="max"/>
        <color rgb="FF628DC4"/>
      </dataBar>
    </cfRule>
  </conditionalFormatting>
  <conditionalFormatting sqref="BJ136:BJ142">
    <cfRule type="dataBar" priority="574">
      <dataBar>
        <cfvo type="min"/>
        <cfvo type="max"/>
        <color rgb="FF628DC4"/>
      </dataBar>
    </cfRule>
  </conditionalFormatting>
  <conditionalFormatting sqref="BJ148:BJ154">
    <cfRule type="dataBar" priority="640">
      <dataBar>
        <cfvo type="min"/>
        <cfvo type="max"/>
        <color rgb="FF628DC4"/>
      </dataBar>
    </cfRule>
  </conditionalFormatting>
  <conditionalFormatting sqref="BJ160:BJ237">
    <cfRule type="dataBar" priority="706">
      <dataBar>
        <cfvo type="min"/>
        <cfvo type="max"/>
        <color rgb="FF628DC4"/>
      </dataBar>
    </cfRule>
  </conditionalFormatting>
  <conditionalFormatting sqref="BJ243:BJ320">
    <cfRule type="dataBar" priority="772">
      <dataBar>
        <cfvo type="min"/>
        <cfvo type="max"/>
        <color rgb="FF628DC4"/>
      </dataBar>
    </cfRule>
  </conditionalFormatting>
  <conditionalFormatting sqref="BJ326:BJ329">
    <cfRule type="dataBar" priority="838">
      <dataBar>
        <cfvo type="min"/>
        <cfvo type="max"/>
        <color rgb="FF628DC4"/>
      </dataBar>
    </cfRule>
  </conditionalFormatting>
  <conditionalFormatting sqref="BJ335:BJ341">
    <cfRule type="dataBar" priority="904">
      <dataBar>
        <cfvo type="min"/>
        <cfvo type="max"/>
        <color rgb="FF628DC4"/>
      </dataBar>
    </cfRule>
  </conditionalFormatting>
  <conditionalFormatting sqref="BJ347:BJ351">
    <cfRule type="dataBar" priority="970">
      <dataBar>
        <cfvo type="min"/>
        <cfvo type="max"/>
        <color rgb="FF628DC4"/>
      </dataBar>
    </cfRule>
  </conditionalFormatting>
  <conditionalFormatting sqref="BJ357:BJ360">
    <cfRule type="dataBar" priority="1036">
      <dataBar>
        <cfvo type="min"/>
        <cfvo type="max"/>
        <color rgb="FF628DC4"/>
      </dataBar>
    </cfRule>
  </conditionalFormatting>
  <conditionalFormatting sqref="BJ366:BJ372">
    <cfRule type="dataBar" priority="1102">
      <dataBar>
        <cfvo type="min"/>
        <cfvo type="max"/>
        <color rgb="FF628DC4"/>
      </dataBar>
    </cfRule>
  </conditionalFormatting>
  <conditionalFormatting sqref="BJ378:BJ382">
    <cfRule type="dataBar" priority="1168">
      <dataBar>
        <cfvo type="min"/>
        <cfvo type="max"/>
        <color rgb="FF628DC4"/>
      </dataBar>
    </cfRule>
  </conditionalFormatting>
  <conditionalFormatting sqref="BJ388:BJ391">
    <cfRule type="dataBar" priority="1234">
      <dataBar>
        <cfvo type="min"/>
        <cfvo type="max"/>
        <color rgb="FF628DC4"/>
      </dataBar>
    </cfRule>
  </conditionalFormatting>
  <conditionalFormatting sqref="BJ397:BJ403">
    <cfRule type="dataBar" priority="1300">
      <dataBar>
        <cfvo type="min"/>
        <cfvo type="max"/>
        <color rgb="FF628DC4"/>
      </dataBar>
    </cfRule>
  </conditionalFormatting>
  <conditionalFormatting sqref="BJ409:BJ413">
    <cfRule type="dataBar" priority="1366">
      <dataBar>
        <cfvo type="min"/>
        <cfvo type="max"/>
        <color rgb="FF628DC4"/>
      </dataBar>
    </cfRule>
  </conditionalFormatting>
  <conditionalFormatting sqref="BJ419:BJ422">
    <cfRule type="dataBar" priority="1432">
      <dataBar>
        <cfvo type="min"/>
        <cfvo type="max"/>
        <color rgb="FF628DC4"/>
      </dataBar>
    </cfRule>
  </conditionalFormatting>
  <conditionalFormatting sqref="BJ428:BJ434">
    <cfRule type="dataBar" priority="1498">
      <dataBar>
        <cfvo type="min"/>
        <cfvo type="max"/>
        <color rgb="FF628DC4"/>
      </dataBar>
    </cfRule>
  </conditionalFormatting>
  <conditionalFormatting sqref="BJ440:BJ444">
    <cfRule type="dataBar" priority="1564">
      <dataBar>
        <cfvo type="min"/>
        <cfvo type="max"/>
        <color rgb="FF628DC4"/>
      </dataBar>
    </cfRule>
  </conditionalFormatting>
  <conditionalFormatting sqref="BJ450:BJ453">
    <cfRule type="dataBar" priority="1630">
      <dataBar>
        <cfvo type="min"/>
        <cfvo type="max"/>
        <color rgb="FF628DC4"/>
      </dataBar>
    </cfRule>
  </conditionalFormatting>
  <conditionalFormatting sqref="BJ459:BJ465">
    <cfRule type="dataBar" priority="1696">
      <dataBar>
        <cfvo type="min"/>
        <cfvo type="max"/>
        <color rgb="FF628DC4"/>
      </dataBar>
    </cfRule>
  </conditionalFormatting>
  <conditionalFormatting sqref="BJ471:BJ475">
    <cfRule type="dataBar" priority="1762">
      <dataBar>
        <cfvo type="min"/>
        <cfvo type="max"/>
        <color rgb="FF628DC4"/>
      </dataBar>
    </cfRule>
  </conditionalFormatting>
  <conditionalFormatting sqref="BJ481:BJ483">
    <cfRule type="dataBar" priority="1828">
      <dataBar>
        <cfvo type="min"/>
        <cfvo type="max"/>
        <color rgb="FF628DC4"/>
      </dataBar>
    </cfRule>
  </conditionalFormatting>
  <conditionalFormatting sqref="BJ489:BJ600">
    <cfRule type="dataBar" priority="1894">
      <dataBar>
        <cfvo type="min"/>
        <cfvo type="max"/>
        <color rgb="FF628DC4"/>
      </dataBar>
    </cfRule>
  </conditionalFormatting>
  <conditionalFormatting sqref="BJ606:BJ613">
    <cfRule type="dataBar" priority="1960">
      <dataBar>
        <cfvo type="min"/>
        <cfvo type="max"/>
        <color rgb="FF628DC4"/>
      </dataBar>
    </cfRule>
  </conditionalFormatting>
  <conditionalFormatting sqref="BJ619:BJ626">
    <cfRule type="dataBar" priority="2026">
      <dataBar>
        <cfvo type="min"/>
        <cfvo type="max"/>
        <color rgb="FF628DC4"/>
      </dataBar>
    </cfRule>
  </conditionalFormatting>
  <conditionalFormatting sqref="BK6:BK8">
    <cfRule type="dataBar" priority="47">
      <dataBar>
        <cfvo type="min"/>
        <cfvo type="max"/>
        <color rgb="FFFFB628"/>
      </dataBar>
    </cfRule>
  </conditionalFormatting>
  <conditionalFormatting sqref="BK14:BK19">
    <cfRule type="dataBar" priority="113">
      <dataBar>
        <cfvo type="min"/>
        <cfvo type="max"/>
        <color rgb="FFFFB628"/>
      </dataBar>
    </cfRule>
  </conditionalFormatting>
  <conditionalFormatting sqref="BK25:BK75">
    <cfRule type="dataBar" priority="179">
      <dataBar>
        <cfvo type="min"/>
        <cfvo type="max"/>
        <color rgb="FFFFB628"/>
      </dataBar>
    </cfRule>
  </conditionalFormatting>
  <conditionalFormatting sqref="BK81:BK83">
    <cfRule type="dataBar" priority="245">
      <dataBar>
        <cfvo type="min"/>
        <cfvo type="max"/>
        <color rgb="FFFFB628"/>
      </dataBar>
    </cfRule>
  </conditionalFormatting>
  <conditionalFormatting sqref="BK89:BK92">
    <cfRule type="dataBar" priority="311">
      <dataBar>
        <cfvo type="min"/>
        <cfvo type="max"/>
        <color rgb="FFFFB628"/>
      </dataBar>
    </cfRule>
  </conditionalFormatting>
  <conditionalFormatting sqref="BK98:BK108">
    <cfRule type="dataBar" priority="377">
      <dataBar>
        <cfvo type="min"/>
        <cfvo type="max"/>
        <color rgb="FFFFB628"/>
      </dataBar>
    </cfRule>
  </conditionalFormatting>
  <conditionalFormatting sqref="BK114:BK120">
    <cfRule type="dataBar" priority="443">
      <dataBar>
        <cfvo type="min"/>
        <cfvo type="max"/>
        <color rgb="FFFFB628"/>
      </dataBar>
    </cfRule>
  </conditionalFormatting>
  <conditionalFormatting sqref="BK126:BK130">
    <cfRule type="dataBar" priority="509">
      <dataBar>
        <cfvo type="min"/>
        <cfvo type="max"/>
        <color rgb="FFFFB628"/>
      </dataBar>
    </cfRule>
  </conditionalFormatting>
  <conditionalFormatting sqref="BK136:BK142">
    <cfRule type="dataBar" priority="575">
      <dataBar>
        <cfvo type="min"/>
        <cfvo type="max"/>
        <color rgb="FFFFB628"/>
      </dataBar>
    </cfRule>
  </conditionalFormatting>
  <conditionalFormatting sqref="BK148:BK154">
    <cfRule type="dataBar" priority="641">
      <dataBar>
        <cfvo type="min"/>
        <cfvo type="max"/>
        <color rgb="FFFFB628"/>
      </dataBar>
    </cfRule>
  </conditionalFormatting>
  <conditionalFormatting sqref="BK160:BK237">
    <cfRule type="dataBar" priority="707">
      <dataBar>
        <cfvo type="min"/>
        <cfvo type="max"/>
        <color rgb="FFFFB628"/>
      </dataBar>
    </cfRule>
  </conditionalFormatting>
  <conditionalFormatting sqref="BK243:BK320">
    <cfRule type="dataBar" priority="773">
      <dataBar>
        <cfvo type="min"/>
        <cfvo type="max"/>
        <color rgb="FFFFB628"/>
      </dataBar>
    </cfRule>
  </conditionalFormatting>
  <conditionalFormatting sqref="BK326:BK329">
    <cfRule type="dataBar" priority="839">
      <dataBar>
        <cfvo type="min"/>
        <cfvo type="max"/>
        <color rgb="FFFFB628"/>
      </dataBar>
    </cfRule>
  </conditionalFormatting>
  <conditionalFormatting sqref="BK335:BK341">
    <cfRule type="dataBar" priority="905">
      <dataBar>
        <cfvo type="min"/>
        <cfvo type="max"/>
        <color rgb="FFFFB628"/>
      </dataBar>
    </cfRule>
  </conditionalFormatting>
  <conditionalFormatting sqref="BK347:BK351">
    <cfRule type="dataBar" priority="971">
      <dataBar>
        <cfvo type="min"/>
        <cfvo type="max"/>
        <color rgb="FFFFB628"/>
      </dataBar>
    </cfRule>
  </conditionalFormatting>
  <conditionalFormatting sqref="BK357:BK360">
    <cfRule type="dataBar" priority="1037">
      <dataBar>
        <cfvo type="min"/>
        <cfvo type="max"/>
        <color rgb="FFFFB628"/>
      </dataBar>
    </cfRule>
  </conditionalFormatting>
  <conditionalFormatting sqref="BK366:BK372">
    <cfRule type="dataBar" priority="1103">
      <dataBar>
        <cfvo type="min"/>
        <cfvo type="max"/>
        <color rgb="FFFFB628"/>
      </dataBar>
    </cfRule>
  </conditionalFormatting>
  <conditionalFormatting sqref="BK378:BK382">
    <cfRule type="dataBar" priority="1169">
      <dataBar>
        <cfvo type="min"/>
        <cfvo type="max"/>
        <color rgb="FFFFB628"/>
      </dataBar>
    </cfRule>
  </conditionalFormatting>
  <conditionalFormatting sqref="BK388:BK391">
    <cfRule type="dataBar" priority="1235">
      <dataBar>
        <cfvo type="min"/>
        <cfvo type="max"/>
        <color rgb="FFFFB628"/>
      </dataBar>
    </cfRule>
  </conditionalFormatting>
  <conditionalFormatting sqref="BK397:BK403">
    <cfRule type="dataBar" priority="1301">
      <dataBar>
        <cfvo type="min"/>
        <cfvo type="max"/>
        <color rgb="FFFFB628"/>
      </dataBar>
    </cfRule>
  </conditionalFormatting>
  <conditionalFormatting sqref="BK409:BK413">
    <cfRule type="dataBar" priority="1367">
      <dataBar>
        <cfvo type="min"/>
        <cfvo type="max"/>
        <color rgb="FFFFB628"/>
      </dataBar>
    </cfRule>
  </conditionalFormatting>
  <conditionalFormatting sqref="BK419:BK422">
    <cfRule type="dataBar" priority="1433">
      <dataBar>
        <cfvo type="min"/>
        <cfvo type="max"/>
        <color rgb="FFFFB628"/>
      </dataBar>
    </cfRule>
  </conditionalFormatting>
  <conditionalFormatting sqref="BK428:BK434">
    <cfRule type="dataBar" priority="1499">
      <dataBar>
        <cfvo type="min"/>
        <cfvo type="max"/>
        <color rgb="FFFFB628"/>
      </dataBar>
    </cfRule>
  </conditionalFormatting>
  <conditionalFormatting sqref="BK440:BK444">
    <cfRule type="dataBar" priority="1565">
      <dataBar>
        <cfvo type="min"/>
        <cfvo type="max"/>
        <color rgb="FFFFB628"/>
      </dataBar>
    </cfRule>
  </conditionalFormatting>
  <conditionalFormatting sqref="BK450:BK453">
    <cfRule type="dataBar" priority="1631">
      <dataBar>
        <cfvo type="min"/>
        <cfvo type="max"/>
        <color rgb="FFFFB628"/>
      </dataBar>
    </cfRule>
  </conditionalFormatting>
  <conditionalFormatting sqref="BK459:BK465">
    <cfRule type="dataBar" priority="1697">
      <dataBar>
        <cfvo type="min"/>
        <cfvo type="max"/>
        <color rgb="FFFFB628"/>
      </dataBar>
    </cfRule>
  </conditionalFormatting>
  <conditionalFormatting sqref="BK471:BK475">
    <cfRule type="dataBar" priority="1763">
      <dataBar>
        <cfvo type="min"/>
        <cfvo type="max"/>
        <color rgb="FFFFB628"/>
      </dataBar>
    </cfRule>
  </conditionalFormatting>
  <conditionalFormatting sqref="BK481:BK483">
    <cfRule type="dataBar" priority="1829">
      <dataBar>
        <cfvo type="min"/>
        <cfvo type="max"/>
        <color rgb="FFFFB628"/>
      </dataBar>
    </cfRule>
  </conditionalFormatting>
  <conditionalFormatting sqref="BK489:BK600">
    <cfRule type="dataBar" priority="1895">
      <dataBar>
        <cfvo type="min"/>
        <cfvo type="max"/>
        <color rgb="FFFFB628"/>
      </dataBar>
    </cfRule>
  </conditionalFormatting>
  <conditionalFormatting sqref="BK606:BK613">
    <cfRule type="dataBar" priority="1961">
      <dataBar>
        <cfvo type="min"/>
        <cfvo type="max"/>
        <color rgb="FFFFB628"/>
      </dataBar>
    </cfRule>
  </conditionalFormatting>
  <conditionalFormatting sqref="BK619:BK626">
    <cfRule type="dataBar" priority="2027">
      <dataBar>
        <cfvo type="min"/>
        <cfvo type="max"/>
        <color rgb="FFFFB628"/>
      </dataBar>
    </cfRule>
  </conditionalFormatting>
  <conditionalFormatting sqref="BL6:BL8">
    <cfRule type="dataBar" priority="48">
      <dataBar>
        <cfvo type="min"/>
        <cfvo type="max"/>
        <color rgb="FFF08D5B"/>
      </dataBar>
    </cfRule>
  </conditionalFormatting>
  <conditionalFormatting sqref="BL14:BL19">
    <cfRule type="dataBar" priority="114">
      <dataBar>
        <cfvo type="min"/>
        <cfvo type="max"/>
        <color rgb="FFF08D5B"/>
      </dataBar>
    </cfRule>
  </conditionalFormatting>
  <conditionalFormatting sqref="BL25:BL75">
    <cfRule type="dataBar" priority="180">
      <dataBar>
        <cfvo type="min"/>
        <cfvo type="max"/>
        <color rgb="FFF08D5B"/>
      </dataBar>
    </cfRule>
  </conditionalFormatting>
  <conditionalFormatting sqref="BL81:BL83">
    <cfRule type="dataBar" priority="246">
      <dataBar>
        <cfvo type="min"/>
        <cfvo type="max"/>
        <color rgb="FFF08D5B"/>
      </dataBar>
    </cfRule>
  </conditionalFormatting>
  <conditionalFormatting sqref="BL89:BL92">
    <cfRule type="dataBar" priority="312">
      <dataBar>
        <cfvo type="min"/>
        <cfvo type="max"/>
        <color rgb="FFF08D5B"/>
      </dataBar>
    </cfRule>
  </conditionalFormatting>
  <conditionalFormatting sqref="BL98:BL108">
    <cfRule type="dataBar" priority="378">
      <dataBar>
        <cfvo type="min"/>
        <cfvo type="max"/>
        <color rgb="FFF08D5B"/>
      </dataBar>
    </cfRule>
  </conditionalFormatting>
  <conditionalFormatting sqref="BL114:BL120">
    <cfRule type="dataBar" priority="444">
      <dataBar>
        <cfvo type="min"/>
        <cfvo type="max"/>
        <color rgb="FFF08D5B"/>
      </dataBar>
    </cfRule>
  </conditionalFormatting>
  <conditionalFormatting sqref="BL126:BL130">
    <cfRule type="dataBar" priority="510">
      <dataBar>
        <cfvo type="min"/>
        <cfvo type="max"/>
        <color rgb="FFF08D5B"/>
      </dataBar>
    </cfRule>
  </conditionalFormatting>
  <conditionalFormatting sqref="BL136:BL142">
    <cfRule type="dataBar" priority="576">
      <dataBar>
        <cfvo type="min"/>
        <cfvo type="max"/>
        <color rgb="FFF08D5B"/>
      </dataBar>
    </cfRule>
  </conditionalFormatting>
  <conditionalFormatting sqref="BL148:BL154">
    <cfRule type="dataBar" priority="642">
      <dataBar>
        <cfvo type="min"/>
        <cfvo type="max"/>
        <color rgb="FFF08D5B"/>
      </dataBar>
    </cfRule>
  </conditionalFormatting>
  <conditionalFormatting sqref="BL160:BL237">
    <cfRule type="dataBar" priority="708">
      <dataBar>
        <cfvo type="min"/>
        <cfvo type="max"/>
        <color rgb="FFF08D5B"/>
      </dataBar>
    </cfRule>
  </conditionalFormatting>
  <conditionalFormatting sqref="BL243:BL320">
    <cfRule type="dataBar" priority="774">
      <dataBar>
        <cfvo type="min"/>
        <cfvo type="max"/>
        <color rgb="FFF08D5B"/>
      </dataBar>
    </cfRule>
  </conditionalFormatting>
  <conditionalFormatting sqref="BL326:BL329">
    <cfRule type="dataBar" priority="840">
      <dataBar>
        <cfvo type="min"/>
        <cfvo type="max"/>
        <color rgb="FFF08D5B"/>
      </dataBar>
    </cfRule>
  </conditionalFormatting>
  <conditionalFormatting sqref="BL335:BL341">
    <cfRule type="dataBar" priority="906">
      <dataBar>
        <cfvo type="min"/>
        <cfvo type="max"/>
        <color rgb="FFF08D5B"/>
      </dataBar>
    </cfRule>
  </conditionalFormatting>
  <conditionalFormatting sqref="BL347:BL351">
    <cfRule type="dataBar" priority="972">
      <dataBar>
        <cfvo type="min"/>
        <cfvo type="max"/>
        <color rgb="FFF08D5B"/>
      </dataBar>
    </cfRule>
  </conditionalFormatting>
  <conditionalFormatting sqref="BL357:BL360">
    <cfRule type="dataBar" priority="1038">
      <dataBar>
        <cfvo type="min"/>
        <cfvo type="max"/>
        <color rgb="FFF08D5B"/>
      </dataBar>
    </cfRule>
  </conditionalFormatting>
  <conditionalFormatting sqref="BL366:BL372">
    <cfRule type="dataBar" priority="1104">
      <dataBar>
        <cfvo type="min"/>
        <cfvo type="max"/>
        <color rgb="FFF08D5B"/>
      </dataBar>
    </cfRule>
  </conditionalFormatting>
  <conditionalFormatting sqref="BL378:BL382">
    <cfRule type="dataBar" priority="1170">
      <dataBar>
        <cfvo type="min"/>
        <cfvo type="max"/>
        <color rgb="FFF08D5B"/>
      </dataBar>
    </cfRule>
  </conditionalFormatting>
  <conditionalFormatting sqref="BL388:BL391">
    <cfRule type="dataBar" priority="1236">
      <dataBar>
        <cfvo type="min"/>
        <cfvo type="max"/>
        <color rgb="FFF08D5B"/>
      </dataBar>
    </cfRule>
  </conditionalFormatting>
  <conditionalFormatting sqref="BL397:BL403">
    <cfRule type="dataBar" priority="1302">
      <dataBar>
        <cfvo type="min"/>
        <cfvo type="max"/>
        <color rgb="FFF08D5B"/>
      </dataBar>
    </cfRule>
  </conditionalFormatting>
  <conditionalFormatting sqref="BL409:BL413">
    <cfRule type="dataBar" priority="1368">
      <dataBar>
        <cfvo type="min"/>
        <cfvo type="max"/>
        <color rgb="FFF08D5B"/>
      </dataBar>
    </cfRule>
  </conditionalFormatting>
  <conditionalFormatting sqref="BL419:BL422">
    <cfRule type="dataBar" priority="1434">
      <dataBar>
        <cfvo type="min"/>
        <cfvo type="max"/>
        <color rgb="FFF08D5B"/>
      </dataBar>
    </cfRule>
  </conditionalFormatting>
  <conditionalFormatting sqref="BL428:BL434">
    <cfRule type="dataBar" priority="1500">
      <dataBar>
        <cfvo type="min"/>
        <cfvo type="max"/>
        <color rgb="FFF08D5B"/>
      </dataBar>
    </cfRule>
  </conditionalFormatting>
  <conditionalFormatting sqref="BL440:BL444">
    <cfRule type="dataBar" priority="1566">
      <dataBar>
        <cfvo type="min"/>
        <cfvo type="max"/>
        <color rgb="FFF08D5B"/>
      </dataBar>
    </cfRule>
  </conditionalFormatting>
  <conditionalFormatting sqref="BL450:BL453">
    <cfRule type="dataBar" priority="1632">
      <dataBar>
        <cfvo type="min"/>
        <cfvo type="max"/>
        <color rgb="FFF08D5B"/>
      </dataBar>
    </cfRule>
  </conditionalFormatting>
  <conditionalFormatting sqref="BL459:BL465">
    <cfRule type="dataBar" priority="1698">
      <dataBar>
        <cfvo type="min"/>
        <cfvo type="max"/>
        <color rgb="FFF08D5B"/>
      </dataBar>
    </cfRule>
  </conditionalFormatting>
  <conditionalFormatting sqref="BL471:BL475">
    <cfRule type="dataBar" priority="1764">
      <dataBar>
        <cfvo type="min"/>
        <cfvo type="max"/>
        <color rgb="FFF08D5B"/>
      </dataBar>
    </cfRule>
  </conditionalFormatting>
  <conditionalFormatting sqref="BL481:BL483">
    <cfRule type="dataBar" priority="1830">
      <dataBar>
        <cfvo type="min"/>
        <cfvo type="max"/>
        <color rgb="FFF08D5B"/>
      </dataBar>
    </cfRule>
  </conditionalFormatting>
  <conditionalFormatting sqref="BL489:BL600">
    <cfRule type="dataBar" priority="1896">
      <dataBar>
        <cfvo type="min"/>
        <cfvo type="max"/>
        <color rgb="FFF08D5B"/>
      </dataBar>
    </cfRule>
  </conditionalFormatting>
  <conditionalFormatting sqref="BL606:BL613">
    <cfRule type="dataBar" priority="1962">
      <dataBar>
        <cfvo type="min"/>
        <cfvo type="max"/>
        <color rgb="FFF08D5B"/>
      </dataBar>
    </cfRule>
  </conditionalFormatting>
  <conditionalFormatting sqref="BL619:BL626">
    <cfRule type="dataBar" priority="2028">
      <dataBar>
        <cfvo type="min"/>
        <cfvo type="max"/>
        <color rgb="FFF08D5B"/>
      </dataBar>
    </cfRule>
  </conditionalFormatting>
  <conditionalFormatting sqref="BN6:BN8">
    <cfRule type="dataBar" priority="49">
      <dataBar>
        <cfvo type="min"/>
        <cfvo type="max"/>
        <color rgb="FF628DC4"/>
      </dataBar>
    </cfRule>
  </conditionalFormatting>
  <conditionalFormatting sqref="BN14:BN19">
    <cfRule type="dataBar" priority="115">
      <dataBar>
        <cfvo type="min"/>
        <cfvo type="max"/>
        <color rgb="FF628DC4"/>
      </dataBar>
    </cfRule>
  </conditionalFormatting>
  <conditionalFormatting sqref="BN25:BN75">
    <cfRule type="dataBar" priority="181">
      <dataBar>
        <cfvo type="min"/>
        <cfvo type="max"/>
        <color rgb="FF628DC4"/>
      </dataBar>
    </cfRule>
  </conditionalFormatting>
  <conditionalFormatting sqref="BN81:BN83">
    <cfRule type="dataBar" priority="247">
      <dataBar>
        <cfvo type="min"/>
        <cfvo type="max"/>
        <color rgb="FF628DC4"/>
      </dataBar>
    </cfRule>
  </conditionalFormatting>
  <conditionalFormatting sqref="BN89:BN92">
    <cfRule type="dataBar" priority="313">
      <dataBar>
        <cfvo type="min"/>
        <cfvo type="max"/>
        <color rgb="FF628DC4"/>
      </dataBar>
    </cfRule>
  </conditionalFormatting>
  <conditionalFormatting sqref="BN98:BN108">
    <cfRule type="dataBar" priority="379">
      <dataBar>
        <cfvo type="min"/>
        <cfvo type="max"/>
        <color rgb="FF628DC4"/>
      </dataBar>
    </cfRule>
  </conditionalFormatting>
  <conditionalFormatting sqref="BN114:BN120">
    <cfRule type="dataBar" priority="445">
      <dataBar>
        <cfvo type="min"/>
        <cfvo type="max"/>
        <color rgb="FF628DC4"/>
      </dataBar>
    </cfRule>
  </conditionalFormatting>
  <conditionalFormatting sqref="BN126:BN130">
    <cfRule type="dataBar" priority="511">
      <dataBar>
        <cfvo type="min"/>
        <cfvo type="max"/>
        <color rgb="FF628DC4"/>
      </dataBar>
    </cfRule>
  </conditionalFormatting>
  <conditionalFormatting sqref="BN136:BN142">
    <cfRule type="dataBar" priority="577">
      <dataBar>
        <cfvo type="min"/>
        <cfvo type="max"/>
        <color rgb="FF628DC4"/>
      </dataBar>
    </cfRule>
  </conditionalFormatting>
  <conditionalFormatting sqref="BN148:BN154">
    <cfRule type="dataBar" priority="643">
      <dataBar>
        <cfvo type="min"/>
        <cfvo type="max"/>
        <color rgb="FF628DC4"/>
      </dataBar>
    </cfRule>
  </conditionalFormatting>
  <conditionalFormatting sqref="BN160:BN237">
    <cfRule type="dataBar" priority="709">
      <dataBar>
        <cfvo type="min"/>
        <cfvo type="max"/>
        <color rgb="FF628DC4"/>
      </dataBar>
    </cfRule>
  </conditionalFormatting>
  <conditionalFormatting sqref="BN243:BN320">
    <cfRule type="dataBar" priority="775">
      <dataBar>
        <cfvo type="min"/>
        <cfvo type="max"/>
        <color rgb="FF628DC4"/>
      </dataBar>
    </cfRule>
  </conditionalFormatting>
  <conditionalFormatting sqref="BN326:BN329">
    <cfRule type="dataBar" priority="841">
      <dataBar>
        <cfvo type="min"/>
        <cfvo type="max"/>
        <color rgb="FF628DC4"/>
      </dataBar>
    </cfRule>
  </conditionalFormatting>
  <conditionalFormatting sqref="BN335:BN341">
    <cfRule type="dataBar" priority="907">
      <dataBar>
        <cfvo type="min"/>
        <cfvo type="max"/>
        <color rgb="FF628DC4"/>
      </dataBar>
    </cfRule>
  </conditionalFormatting>
  <conditionalFormatting sqref="BN347:BN351">
    <cfRule type="dataBar" priority="973">
      <dataBar>
        <cfvo type="min"/>
        <cfvo type="max"/>
        <color rgb="FF628DC4"/>
      </dataBar>
    </cfRule>
  </conditionalFormatting>
  <conditionalFormatting sqref="BN357:BN360">
    <cfRule type="dataBar" priority="1039">
      <dataBar>
        <cfvo type="min"/>
        <cfvo type="max"/>
        <color rgb="FF628DC4"/>
      </dataBar>
    </cfRule>
  </conditionalFormatting>
  <conditionalFormatting sqref="BN366:BN372">
    <cfRule type="dataBar" priority="1105">
      <dataBar>
        <cfvo type="min"/>
        <cfvo type="max"/>
        <color rgb="FF628DC4"/>
      </dataBar>
    </cfRule>
  </conditionalFormatting>
  <conditionalFormatting sqref="BN378:BN382">
    <cfRule type="dataBar" priority="1171">
      <dataBar>
        <cfvo type="min"/>
        <cfvo type="max"/>
        <color rgb="FF628DC4"/>
      </dataBar>
    </cfRule>
  </conditionalFormatting>
  <conditionalFormatting sqref="BN388:BN391">
    <cfRule type="dataBar" priority="1237">
      <dataBar>
        <cfvo type="min"/>
        <cfvo type="max"/>
        <color rgb="FF628DC4"/>
      </dataBar>
    </cfRule>
  </conditionalFormatting>
  <conditionalFormatting sqref="BN397:BN403">
    <cfRule type="dataBar" priority="1303">
      <dataBar>
        <cfvo type="min"/>
        <cfvo type="max"/>
        <color rgb="FF628DC4"/>
      </dataBar>
    </cfRule>
  </conditionalFormatting>
  <conditionalFormatting sqref="BN409:BN413">
    <cfRule type="dataBar" priority="1369">
      <dataBar>
        <cfvo type="min"/>
        <cfvo type="max"/>
        <color rgb="FF628DC4"/>
      </dataBar>
    </cfRule>
  </conditionalFormatting>
  <conditionalFormatting sqref="BN419:BN422">
    <cfRule type="dataBar" priority="1435">
      <dataBar>
        <cfvo type="min"/>
        <cfvo type="max"/>
        <color rgb="FF628DC4"/>
      </dataBar>
    </cfRule>
  </conditionalFormatting>
  <conditionalFormatting sqref="BN428:BN434">
    <cfRule type="dataBar" priority="1501">
      <dataBar>
        <cfvo type="min"/>
        <cfvo type="max"/>
        <color rgb="FF628DC4"/>
      </dataBar>
    </cfRule>
  </conditionalFormatting>
  <conditionalFormatting sqref="BN440:BN444">
    <cfRule type="dataBar" priority="1567">
      <dataBar>
        <cfvo type="min"/>
        <cfvo type="max"/>
        <color rgb="FF628DC4"/>
      </dataBar>
    </cfRule>
  </conditionalFormatting>
  <conditionalFormatting sqref="BN450:BN453">
    <cfRule type="dataBar" priority="1633">
      <dataBar>
        <cfvo type="min"/>
        <cfvo type="max"/>
        <color rgb="FF628DC4"/>
      </dataBar>
    </cfRule>
  </conditionalFormatting>
  <conditionalFormatting sqref="BN459:BN465">
    <cfRule type="dataBar" priority="1699">
      <dataBar>
        <cfvo type="min"/>
        <cfvo type="max"/>
        <color rgb="FF628DC4"/>
      </dataBar>
    </cfRule>
  </conditionalFormatting>
  <conditionalFormatting sqref="BN471:BN475">
    <cfRule type="dataBar" priority="1765">
      <dataBar>
        <cfvo type="min"/>
        <cfvo type="max"/>
        <color rgb="FF628DC4"/>
      </dataBar>
    </cfRule>
  </conditionalFormatting>
  <conditionalFormatting sqref="BN481:BN483">
    <cfRule type="dataBar" priority="1831">
      <dataBar>
        <cfvo type="min"/>
        <cfvo type="max"/>
        <color rgb="FF628DC4"/>
      </dataBar>
    </cfRule>
  </conditionalFormatting>
  <conditionalFormatting sqref="BN489:BN600">
    <cfRule type="dataBar" priority="1897">
      <dataBar>
        <cfvo type="min"/>
        <cfvo type="max"/>
        <color rgb="FF628DC4"/>
      </dataBar>
    </cfRule>
  </conditionalFormatting>
  <conditionalFormatting sqref="BN606:BN613">
    <cfRule type="dataBar" priority="1963">
      <dataBar>
        <cfvo type="min"/>
        <cfvo type="max"/>
        <color rgb="FF628DC4"/>
      </dataBar>
    </cfRule>
  </conditionalFormatting>
  <conditionalFormatting sqref="BN619:BN626">
    <cfRule type="dataBar" priority="2029">
      <dataBar>
        <cfvo type="min"/>
        <cfvo type="max"/>
        <color rgb="FF628DC4"/>
      </dataBar>
    </cfRule>
  </conditionalFormatting>
  <conditionalFormatting sqref="BO6:BO8">
    <cfRule type="dataBar" priority="50">
      <dataBar>
        <cfvo type="min"/>
        <cfvo type="max"/>
        <color rgb="FFFFB628"/>
      </dataBar>
    </cfRule>
  </conditionalFormatting>
  <conditionalFormatting sqref="BO14:BO19">
    <cfRule type="dataBar" priority="116">
      <dataBar>
        <cfvo type="min"/>
        <cfvo type="max"/>
        <color rgb="FFFFB628"/>
      </dataBar>
    </cfRule>
  </conditionalFormatting>
  <conditionalFormatting sqref="BO25:BO75">
    <cfRule type="dataBar" priority="182">
      <dataBar>
        <cfvo type="min"/>
        <cfvo type="max"/>
        <color rgb="FFFFB628"/>
      </dataBar>
    </cfRule>
  </conditionalFormatting>
  <conditionalFormatting sqref="BO81:BO83">
    <cfRule type="dataBar" priority="248">
      <dataBar>
        <cfvo type="min"/>
        <cfvo type="max"/>
        <color rgb="FFFFB628"/>
      </dataBar>
    </cfRule>
  </conditionalFormatting>
  <conditionalFormatting sqref="BO89:BO92">
    <cfRule type="dataBar" priority="314">
      <dataBar>
        <cfvo type="min"/>
        <cfvo type="max"/>
        <color rgb="FFFFB628"/>
      </dataBar>
    </cfRule>
  </conditionalFormatting>
  <conditionalFormatting sqref="BO98:BO108">
    <cfRule type="dataBar" priority="380">
      <dataBar>
        <cfvo type="min"/>
        <cfvo type="max"/>
        <color rgb="FFFFB628"/>
      </dataBar>
    </cfRule>
  </conditionalFormatting>
  <conditionalFormatting sqref="BO114:BO120">
    <cfRule type="dataBar" priority="446">
      <dataBar>
        <cfvo type="min"/>
        <cfvo type="max"/>
        <color rgb="FFFFB628"/>
      </dataBar>
    </cfRule>
  </conditionalFormatting>
  <conditionalFormatting sqref="BO126:BO130">
    <cfRule type="dataBar" priority="512">
      <dataBar>
        <cfvo type="min"/>
        <cfvo type="max"/>
        <color rgb="FFFFB628"/>
      </dataBar>
    </cfRule>
  </conditionalFormatting>
  <conditionalFormatting sqref="BO136:BO142">
    <cfRule type="dataBar" priority="578">
      <dataBar>
        <cfvo type="min"/>
        <cfvo type="max"/>
        <color rgb="FFFFB628"/>
      </dataBar>
    </cfRule>
  </conditionalFormatting>
  <conditionalFormatting sqref="BO148:BO154">
    <cfRule type="dataBar" priority="644">
      <dataBar>
        <cfvo type="min"/>
        <cfvo type="max"/>
        <color rgb="FFFFB628"/>
      </dataBar>
    </cfRule>
  </conditionalFormatting>
  <conditionalFormatting sqref="BO160:BO237">
    <cfRule type="dataBar" priority="710">
      <dataBar>
        <cfvo type="min"/>
        <cfvo type="max"/>
        <color rgb="FFFFB628"/>
      </dataBar>
    </cfRule>
  </conditionalFormatting>
  <conditionalFormatting sqref="BO243:BO320">
    <cfRule type="dataBar" priority="776">
      <dataBar>
        <cfvo type="min"/>
        <cfvo type="max"/>
        <color rgb="FFFFB628"/>
      </dataBar>
    </cfRule>
  </conditionalFormatting>
  <conditionalFormatting sqref="BO326:BO329">
    <cfRule type="dataBar" priority="842">
      <dataBar>
        <cfvo type="min"/>
        <cfvo type="max"/>
        <color rgb="FFFFB628"/>
      </dataBar>
    </cfRule>
  </conditionalFormatting>
  <conditionalFormatting sqref="BO335:BO341">
    <cfRule type="dataBar" priority="908">
      <dataBar>
        <cfvo type="min"/>
        <cfvo type="max"/>
        <color rgb="FFFFB628"/>
      </dataBar>
    </cfRule>
  </conditionalFormatting>
  <conditionalFormatting sqref="BO347:BO351">
    <cfRule type="dataBar" priority="974">
      <dataBar>
        <cfvo type="min"/>
        <cfvo type="max"/>
        <color rgb="FFFFB628"/>
      </dataBar>
    </cfRule>
  </conditionalFormatting>
  <conditionalFormatting sqref="BO357:BO360">
    <cfRule type="dataBar" priority="1040">
      <dataBar>
        <cfvo type="min"/>
        <cfvo type="max"/>
        <color rgb="FFFFB628"/>
      </dataBar>
    </cfRule>
  </conditionalFormatting>
  <conditionalFormatting sqref="BO366:BO372">
    <cfRule type="dataBar" priority="1106">
      <dataBar>
        <cfvo type="min"/>
        <cfvo type="max"/>
        <color rgb="FFFFB628"/>
      </dataBar>
    </cfRule>
  </conditionalFormatting>
  <conditionalFormatting sqref="BO378:BO382">
    <cfRule type="dataBar" priority="1172">
      <dataBar>
        <cfvo type="min"/>
        <cfvo type="max"/>
        <color rgb="FFFFB628"/>
      </dataBar>
    </cfRule>
  </conditionalFormatting>
  <conditionalFormatting sqref="BO388:BO391">
    <cfRule type="dataBar" priority="1238">
      <dataBar>
        <cfvo type="min"/>
        <cfvo type="max"/>
        <color rgb="FFFFB628"/>
      </dataBar>
    </cfRule>
  </conditionalFormatting>
  <conditionalFormatting sqref="BO397:BO403">
    <cfRule type="dataBar" priority="1304">
      <dataBar>
        <cfvo type="min"/>
        <cfvo type="max"/>
        <color rgb="FFFFB628"/>
      </dataBar>
    </cfRule>
  </conditionalFormatting>
  <conditionalFormatting sqref="BO409:BO413">
    <cfRule type="dataBar" priority="1370">
      <dataBar>
        <cfvo type="min"/>
        <cfvo type="max"/>
        <color rgb="FFFFB628"/>
      </dataBar>
    </cfRule>
  </conditionalFormatting>
  <conditionalFormatting sqref="BO419:BO422">
    <cfRule type="dataBar" priority="1436">
      <dataBar>
        <cfvo type="min"/>
        <cfvo type="max"/>
        <color rgb="FFFFB628"/>
      </dataBar>
    </cfRule>
  </conditionalFormatting>
  <conditionalFormatting sqref="BO428:BO434">
    <cfRule type="dataBar" priority="1502">
      <dataBar>
        <cfvo type="min"/>
        <cfvo type="max"/>
        <color rgb="FFFFB628"/>
      </dataBar>
    </cfRule>
  </conditionalFormatting>
  <conditionalFormatting sqref="BO440:BO444">
    <cfRule type="dataBar" priority="1568">
      <dataBar>
        <cfvo type="min"/>
        <cfvo type="max"/>
        <color rgb="FFFFB628"/>
      </dataBar>
    </cfRule>
  </conditionalFormatting>
  <conditionalFormatting sqref="BO450:BO453">
    <cfRule type="dataBar" priority="1634">
      <dataBar>
        <cfvo type="min"/>
        <cfvo type="max"/>
        <color rgb="FFFFB628"/>
      </dataBar>
    </cfRule>
  </conditionalFormatting>
  <conditionalFormatting sqref="BO459:BO465">
    <cfRule type="dataBar" priority="1700">
      <dataBar>
        <cfvo type="min"/>
        <cfvo type="max"/>
        <color rgb="FFFFB628"/>
      </dataBar>
    </cfRule>
  </conditionalFormatting>
  <conditionalFormatting sqref="BO471:BO475">
    <cfRule type="dataBar" priority="1766">
      <dataBar>
        <cfvo type="min"/>
        <cfvo type="max"/>
        <color rgb="FFFFB628"/>
      </dataBar>
    </cfRule>
  </conditionalFormatting>
  <conditionalFormatting sqref="BO481:BO483">
    <cfRule type="dataBar" priority="1832">
      <dataBar>
        <cfvo type="min"/>
        <cfvo type="max"/>
        <color rgb="FFFFB628"/>
      </dataBar>
    </cfRule>
  </conditionalFormatting>
  <conditionalFormatting sqref="BO489:BO600">
    <cfRule type="dataBar" priority="1898">
      <dataBar>
        <cfvo type="min"/>
        <cfvo type="max"/>
        <color rgb="FFFFB628"/>
      </dataBar>
    </cfRule>
  </conditionalFormatting>
  <conditionalFormatting sqref="BO606:BO613">
    <cfRule type="dataBar" priority="1964">
      <dataBar>
        <cfvo type="min"/>
        <cfvo type="max"/>
        <color rgb="FFFFB628"/>
      </dataBar>
    </cfRule>
  </conditionalFormatting>
  <conditionalFormatting sqref="BO619:BO626">
    <cfRule type="dataBar" priority="2030">
      <dataBar>
        <cfvo type="min"/>
        <cfvo type="max"/>
        <color rgb="FFFFB628"/>
      </dataBar>
    </cfRule>
  </conditionalFormatting>
  <conditionalFormatting sqref="BP6:BP8">
    <cfRule type="dataBar" priority="51">
      <dataBar>
        <cfvo type="min"/>
        <cfvo type="max"/>
        <color rgb="FFF08D5B"/>
      </dataBar>
    </cfRule>
  </conditionalFormatting>
  <conditionalFormatting sqref="BP14:BP19">
    <cfRule type="dataBar" priority="117">
      <dataBar>
        <cfvo type="min"/>
        <cfvo type="max"/>
        <color rgb="FFF08D5B"/>
      </dataBar>
    </cfRule>
  </conditionalFormatting>
  <conditionalFormatting sqref="BP25:BP75">
    <cfRule type="dataBar" priority="183">
      <dataBar>
        <cfvo type="min"/>
        <cfvo type="max"/>
        <color rgb="FFF08D5B"/>
      </dataBar>
    </cfRule>
  </conditionalFormatting>
  <conditionalFormatting sqref="BP81:BP83">
    <cfRule type="dataBar" priority="249">
      <dataBar>
        <cfvo type="min"/>
        <cfvo type="max"/>
        <color rgb="FFF08D5B"/>
      </dataBar>
    </cfRule>
  </conditionalFormatting>
  <conditionalFormatting sqref="BP89:BP92">
    <cfRule type="dataBar" priority="315">
      <dataBar>
        <cfvo type="min"/>
        <cfvo type="max"/>
        <color rgb="FFF08D5B"/>
      </dataBar>
    </cfRule>
  </conditionalFormatting>
  <conditionalFormatting sqref="BP98:BP108">
    <cfRule type="dataBar" priority="381">
      <dataBar>
        <cfvo type="min"/>
        <cfvo type="max"/>
        <color rgb="FFF08D5B"/>
      </dataBar>
    </cfRule>
  </conditionalFormatting>
  <conditionalFormatting sqref="BP114:BP120">
    <cfRule type="dataBar" priority="447">
      <dataBar>
        <cfvo type="min"/>
        <cfvo type="max"/>
        <color rgb="FFF08D5B"/>
      </dataBar>
    </cfRule>
  </conditionalFormatting>
  <conditionalFormatting sqref="BP126:BP130">
    <cfRule type="dataBar" priority="513">
      <dataBar>
        <cfvo type="min"/>
        <cfvo type="max"/>
        <color rgb="FFF08D5B"/>
      </dataBar>
    </cfRule>
  </conditionalFormatting>
  <conditionalFormatting sqref="BP136:BP142">
    <cfRule type="dataBar" priority="579">
      <dataBar>
        <cfvo type="min"/>
        <cfvo type="max"/>
        <color rgb="FFF08D5B"/>
      </dataBar>
    </cfRule>
  </conditionalFormatting>
  <conditionalFormatting sqref="BP148:BP154">
    <cfRule type="dataBar" priority="645">
      <dataBar>
        <cfvo type="min"/>
        <cfvo type="max"/>
        <color rgb="FFF08D5B"/>
      </dataBar>
    </cfRule>
  </conditionalFormatting>
  <conditionalFormatting sqref="BP160:BP237">
    <cfRule type="dataBar" priority="711">
      <dataBar>
        <cfvo type="min"/>
        <cfvo type="max"/>
        <color rgb="FFF08D5B"/>
      </dataBar>
    </cfRule>
  </conditionalFormatting>
  <conditionalFormatting sqref="BP243:BP320">
    <cfRule type="dataBar" priority="777">
      <dataBar>
        <cfvo type="min"/>
        <cfvo type="max"/>
        <color rgb="FFF08D5B"/>
      </dataBar>
    </cfRule>
  </conditionalFormatting>
  <conditionalFormatting sqref="BP326:BP329">
    <cfRule type="dataBar" priority="843">
      <dataBar>
        <cfvo type="min"/>
        <cfvo type="max"/>
        <color rgb="FFF08D5B"/>
      </dataBar>
    </cfRule>
  </conditionalFormatting>
  <conditionalFormatting sqref="BP335:BP341">
    <cfRule type="dataBar" priority="909">
      <dataBar>
        <cfvo type="min"/>
        <cfvo type="max"/>
        <color rgb="FFF08D5B"/>
      </dataBar>
    </cfRule>
  </conditionalFormatting>
  <conditionalFormatting sqref="BP347:BP351">
    <cfRule type="dataBar" priority="975">
      <dataBar>
        <cfvo type="min"/>
        <cfvo type="max"/>
        <color rgb="FFF08D5B"/>
      </dataBar>
    </cfRule>
  </conditionalFormatting>
  <conditionalFormatting sqref="BP357:BP360">
    <cfRule type="dataBar" priority="1041">
      <dataBar>
        <cfvo type="min"/>
        <cfvo type="max"/>
        <color rgb="FFF08D5B"/>
      </dataBar>
    </cfRule>
  </conditionalFormatting>
  <conditionalFormatting sqref="BP366:BP372">
    <cfRule type="dataBar" priority="1107">
      <dataBar>
        <cfvo type="min"/>
        <cfvo type="max"/>
        <color rgb="FFF08D5B"/>
      </dataBar>
    </cfRule>
  </conditionalFormatting>
  <conditionalFormatting sqref="BP378:BP382">
    <cfRule type="dataBar" priority="1173">
      <dataBar>
        <cfvo type="min"/>
        <cfvo type="max"/>
        <color rgb="FFF08D5B"/>
      </dataBar>
    </cfRule>
  </conditionalFormatting>
  <conditionalFormatting sqref="BP388:BP391">
    <cfRule type="dataBar" priority="1239">
      <dataBar>
        <cfvo type="min"/>
        <cfvo type="max"/>
        <color rgb="FFF08D5B"/>
      </dataBar>
    </cfRule>
  </conditionalFormatting>
  <conditionalFormatting sqref="BP397:BP403">
    <cfRule type="dataBar" priority="1305">
      <dataBar>
        <cfvo type="min"/>
        <cfvo type="max"/>
        <color rgb="FFF08D5B"/>
      </dataBar>
    </cfRule>
  </conditionalFormatting>
  <conditionalFormatting sqref="BP409:BP413">
    <cfRule type="dataBar" priority="1371">
      <dataBar>
        <cfvo type="min"/>
        <cfvo type="max"/>
        <color rgb="FFF08D5B"/>
      </dataBar>
    </cfRule>
  </conditionalFormatting>
  <conditionalFormatting sqref="BP419:BP422">
    <cfRule type="dataBar" priority="1437">
      <dataBar>
        <cfvo type="min"/>
        <cfvo type="max"/>
        <color rgb="FFF08D5B"/>
      </dataBar>
    </cfRule>
  </conditionalFormatting>
  <conditionalFormatting sqref="BP428:BP434">
    <cfRule type="dataBar" priority="1503">
      <dataBar>
        <cfvo type="min"/>
        <cfvo type="max"/>
        <color rgb="FFF08D5B"/>
      </dataBar>
    </cfRule>
  </conditionalFormatting>
  <conditionalFormatting sqref="BP440:BP444">
    <cfRule type="dataBar" priority="1569">
      <dataBar>
        <cfvo type="min"/>
        <cfvo type="max"/>
        <color rgb="FFF08D5B"/>
      </dataBar>
    </cfRule>
  </conditionalFormatting>
  <conditionalFormatting sqref="BP450:BP453">
    <cfRule type="dataBar" priority="1635">
      <dataBar>
        <cfvo type="min"/>
        <cfvo type="max"/>
        <color rgb="FFF08D5B"/>
      </dataBar>
    </cfRule>
  </conditionalFormatting>
  <conditionalFormatting sqref="BP459:BP465">
    <cfRule type="dataBar" priority="1701">
      <dataBar>
        <cfvo type="min"/>
        <cfvo type="max"/>
        <color rgb="FFF08D5B"/>
      </dataBar>
    </cfRule>
  </conditionalFormatting>
  <conditionalFormatting sqref="BP471:BP475">
    <cfRule type="dataBar" priority="1767">
      <dataBar>
        <cfvo type="min"/>
        <cfvo type="max"/>
        <color rgb="FFF08D5B"/>
      </dataBar>
    </cfRule>
  </conditionalFormatting>
  <conditionalFormatting sqref="BP481:BP483">
    <cfRule type="dataBar" priority="1833">
      <dataBar>
        <cfvo type="min"/>
        <cfvo type="max"/>
        <color rgb="FFF08D5B"/>
      </dataBar>
    </cfRule>
  </conditionalFormatting>
  <conditionalFormatting sqref="BP489:BP600">
    <cfRule type="dataBar" priority="1899">
      <dataBar>
        <cfvo type="min"/>
        <cfvo type="max"/>
        <color rgb="FFF08D5B"/>
      </dataBar>
    </cfRule>
  </conditionalFormatting>
  <conditionalFormatting sqref="BP606:BP613">
    <cfRule type="dataBar" priority="1965">
      <dataBar>
        <cfvo type="min"/>
        <cfvo type="max"/>
        <color rgb="FFF08D5B"/>
      </dataBar>
    </cfRule>
  </conditionalFormatting>
  <conditionalFormatting sqref="BP619:BP626">
    <cfRule type="dataBar" priority="2031">
      <dataBar>
        <cfvo type="min"/>
        <cfvo type="max"/>
        <color rgb="FFF08D5B"/>
      </dataBar>
    </cfRule>
  </conditionalFormatting>
  <conditionalFormatting sqref="BR6:BR8">
    <cfRule type="dataBar" priority="52">
      <dataBar>
        <cfvo type="min"/>
        <cfvo type="max"/>
        <color rgb="FF628DC4"/>
      </dataBar>
    </cfRule>
  </conditionalFormatting>
  <conditionalFormatting sqref="BR14:BR19">
    <cfRule type="dataBar" priority="118">
      <dataBar>
        <cfvo type="min"/>
        <cfvo type="max"/>
        <color rgb="FF628DC4"/>
      </dataBar>
    </cfRule>
  </conditionalFormatting>
  <conditionalFormatting sqref="BR25:BR75">
    <cfRule type="dataBar" priority="184">
      <dataBar>
        <cfvo type="min"/>
        <cfvo type="max"/>
        <color rgb="FF628DC4"/>
      </dataBar>
    </cfRule>
  </conditionalFormatting>
  <conditionalFormatting sqref="BR81:BR83">
    <cfRule type="dataBar" priority="250">
      <dataBar>
        <cfvo type="min"/>
        <cfvo type="max"/>
        <color rgb="FF628DC4"/>
      </dataBar>
    </cfRule>
  </conditionalFormatting>
  <conditionalFormatting sqref="BR89:BR92">
    <cfRule type="dataBar" priority="316">
      <dataBar>
        <cfvo type="min"/>
        <cfvo type="max"/>
        <color rgb="FF628DC4"/>
      </dataBar>
    </cfRule>
  </conditionalFormatting>
  <conditionalFormatting sqref="BR98:BR108">
    <cfRule type="dataBar" priority="382">
      <dataBar>
        <cfvo type="min"/>
        <cfvo type="max"/>
        <color rgb="FF628DC4"/>
      </dataBar>
    </cfRule>
  </conditionalFormatting>
  <conditionalFormatting sqref="BR114:BR120">
    <cfRule type="dataBar" priority="448">
      <dataBar>
        <cfvo type="min"/>
        <cfvo type="max"/>
        <color rgb="FF628DC4"/>
      </dataBar>
    </cfRule>
  </conditionalFormatting>
  <conditionalFormatting sqref="BR126:BR130">
    <cfRule type="dataBar" priority="514">
      <dataBar>
        <cfvo type="min"/>
        <cfvo type="max"/>
        <color rgb="FF628DC4"/>
      </dataBar>
    </cfRule>
  </conditionalFormatting>
  <conditionalFormatting sqref="BR136:BR142">
    <cfRule type="dataBar" priority="580">
      <dataBar>
        <cfvo type="min"/>
        <cfvo type="max"/>
        <color rgb="FF628DC4"/>
      </dataBar>
    </cfRule>
  </conditionalFormatting>
  <conditionalFormatting sqref="BR148:BR154">
    <cfRule type="dataBar" priority="646">
      <dataBar>
        <cfvo type="min"/>
        <cfvo type="max"/>
        <color rgb="FF628DC4"/>
      </dataBar>
    </cfRule>
  </conditionalFormatting>
  <conditionalFormatting sqref="BR160:BR237">
    <cfRule type="dataBar" priority="712">
      <dataBar>
        <cfvo type="min"/>
        <cfvo type="max"/>
        <color rgb="FF628DC4"/>
      </dataBar>
    </cfRule>
  </conditionalFormatting>
  <conditionalFormatting sqref="BR243:BR320">
    <cfRule type="dataBar" priority="778">
      <dataBar>
        <cfvo type="min"/>
        <cfvo type="max"/>
        <color rgb="FF628DC4"/>
      </dataBar>
    </cfRule>
  </conditionalFormatting>
  <conditionalFormatting sqref="BR326:BR329">
    <cfRule type="dataBar" priority="844">
      <dataBar>
        <cfvo type="min"/>
        <cfvo type="max"/>
        <color rgb="FF628DC4"/>
      </dataBar>
    </cfRule>
  </conditionalFormatting>
  <conditionalFormatting sqref="BR335:BR341">
    <cfRule type="dataBar" priority="910">
      <dataBar>
        <cfvo type="min"/>
        <cfvo type="max"/>
        <color rgb="FF628DC4"/>
      </dataBar>
    </cfRule>
  </conditionalFormatting>
  <conditionalFormatting sqref="BR347:BR351">
    <cfRule type="dataBar" priority="976">
      <dataBar>
        <cfvo type="min"/>
        <cfvo type="max"/>
        <color rgb="FF628DC4"/>
      </dataBar>
    </cfRule>
  </conditionalFormatting>
  <conditionalFormatting sqref="BR357:BR360">
    <cfRule type="dataBar" priority="1042">
      <dataBar>
        <cfvo type="min"/>
        <cfvo type="max"/>
        <color rgb="FF628DC4"/>
      </dataBar>
    </cfRule>
  </conditionalFormatting>
  <conditionalFormatting sqref="BR366:BR372">
    <cfRule type="dataBar" priority="1108">
      <dataBar>
        <cfvo type="min"/>
        <cfvo type="max"/>
        <color rgb="FF628DC4"/>
      </dataBar>
    </cfRule>
  </conditionalFormatting>
  <conditionalFormatting sqref="BR378:BR382">
    <cfRule type="dataBar" priority="1174">
      <dataBar>
        <cfvo type="min"/>
        <cfvo type="max"/>
        <color rgb="FF628DC4"/>
      </dataBar>
    </cfRule>
  </conditionalFormatting>
  <conditionalFormatting sqref="BR388:BR391">
    <cfRule type="dataBar" priority="1240">
      <dataBar>
        <cfvo type="min"/>
        <cfvo type="max"/>
        <color rgb="FF628DC4"/>
      </dataBar>
    </cfRule>
  </conditionalFormatting>
  <conditionalFormatting sqref="BR397:BR403">
    <cfRule type="dataBar" priority="1306">
      <dataBar>
        <cfvo type="min"/>
        <cfvo type="max"/>
        <color rgb="FF628DC4"/>
      </dataBar>
    </cfRule>
  </conditionalFormatting>
  <conditionalFormatting sqref="BR409:BR413">
    <cfRule type="dataBar" priority="1372">
      <dataBar>
        <cfvo type="min"/>
        <cfvo type="max"/>
        <color rgb="FF628DC4"/>
      </dataBar>
    </cfRule>
  </conditionalFormatting>
  <conditionalFormatting sqref="BR419:BR422">
    <cfRule type="dataBar" priority="1438">
      <dataBar>
        <cfvo type="min"/>
        <cfvo type="max"/>
        <color rgb="FF628DC4"/>
      </dataBar>
    </cfRule>
  </conditionalFormatting>
  <conditionalFormatting sqref="BR428:BR434">
    <cfRule type="dataBar" priority="1504">
      <dataBar>
        <cfvo type="min"/>
        <cfvo type="max"/>
        <color rgb="FF628DC4"/>
      </dataBar>
    </cfRule>
  </conditionalFormatting>
  <conditionalFormatting sqref="BR440:BR444">
    <cfRule type="dataBar" priority="1570">
      <dataBar>
        <cfvo type="min"/>
        <cfvo type="max"/>
        <color rgb="FF628DC4"/>
      </dataBar>
    </cfRule>
  </conditionalFormatting>
  <conditionalFormatting sqref="BR450:BR453">
    <cfRule type="dataBar" priority="1636">
      <dataBar>
        <cfvo type="min"/>
        <cfvo type="max"/>
        <color rgb="FF628DC4"/>
      </dataBar>
    </cfRule>
  </conditionalFormatting>
  <conditionalFormatting sqref="BR459:BR465">
    <cfRule type="dataBar" priority="1702">
      <dataBar>
        <cfvo type="min"/>
        <cfvo type="max"/>
        <color rgb="FF628DC4"/>
      </dataBar>
    </cfRule>
  </conditionalFormatting>
  <conditionalFormatting sqref="BR471:BR475">
    <cfRule type="dataBar" priority="1768">
      <dataBar>
        <cfvo type="min"/>
        <cfvo type="max"/>
        <color rgb="FF628DC4"/>
      </dataBar>
    </cfRule>
  </conditionalFormatting>
  <conditionalFormatting sqref="BR481:BR483">
    <cfRule type="dataBar" priority="1834">
      <dataBar>
        <cfvo type="min"/>
        <cfvo type="max"/>
        <color rgb="FF628DC4"/>
      </dataBar>
    </cfRule>
  </conditionalFormatting>
  <conditionalFormatting sqref="BR489:BR600">
    <cfRule type="dataBar" priority="1900">
      <dataBar>
        <cfvo type="min"/>
        <cfvo type="max"/>
        <color rgb="FF628DC4"/>
      </dataBar>
    </cfRule>
  </conditionalFormatting>
  <conditionalFormatting sqref="BR606:BR613">
    <cfRule type="dataBar" priority="1966">
      <dataBar>
        <cfvo type="min"/>
        <cfvo type="max"/>
        <color rgb="FF628DC4"/>
      </dataBar>
    </cfRule>
  </conditionalFormatting>
  <conditionalFormatting sqref="BR619:BR626">
    <cfRule type="dataBar" priority="2032">
      <dataBar>
        <cfvo type="min"/>
        <cfvo type="max"/>
        <color rgb="FF628DC4"/>
      </dataBar>
    </cfRule>
  </conditionalFormatting>
  <conditionalFormatting sqref="BS6:BS8">
    <cfRule type="dataBar" priority="53">
      <dataBar>
        <cfvo type="min"/>
        <cfvo type="max"/>
        <color rgb="FFFFB628"/>
      </dataBar>
    </cfRule>
  </conditionalFormatting>
  <conditionalFormatting sqref="BS14:BS19">
    <cfRule type="dataBar" priority="119">
      <dataBar>
        <cfvo type="min"/>
        <cfvo type="max"/>
        <color rgb="FFFFB628"/>
      </dataBar>
    </cfRule>
  </conditionalFormatting>
  <conditionalFormatting sqref="BS25:BS75">
    <cfRule type="dataBar" priority="185">
      <dataBar>
        <cfvo type="min"/>
        <cfvo type="max"/>
        <color rgb="FFFFB628"/>
      </dataBar>
    </cfRule>
  </conditionalFormatting>
  <conditionalFormatting sqref="BS81:BS83">
    <cfRule type="dataBar" priority="251">
      <dataBar>
        <cfvo type="min"/>
        <cfvo type="max"/>
        <color rgb="FFFFB628"/>
      </dataBar>
    </cfRule>
  </conditionalFormatting>
  <conditionalFormatting sqref="BS89:BS92">
    <cfRule type="dataBar" priority="317">
      <dataBar>
        <cfvo type="min"/>
        <cfvo type="max"/>
        <color rgb="FFFFB628"/>
      </dataBar>
    </cfRule>
  </conditionalFormatting>
  <conditionalFormatting sqref="BS98:BS108">
    <cfRule type="dataBar" priority="383">
      <dataBar>
        <cfvo type="min"/>
        <cfvo type="max"/>
        <color rgb="FFFFB628"/>
      </dataBar>
    </cfRule>
  </conditionalFormatting>
  <conditionalFormatting sqref="BS114:BS120">
    <cfRule type="dataBar" priority="449">
      <dataBar>
        <cfvo type="min"/>
        <cfvo type="max"/>
        <color rgb="FFFFB628"/>
      </dataBar>
    </cfRule>
  </conditionalFormatting>
  <conditionalFormatting sqref="BS126:BS130">
    <cfRule type="dataBar" priority="515">
      <dataBar>
        <cfvo type="min"/>
        <cfvo type="max"/>
        <color rgb="FFFFB628"/>
      </dataBar>
    </cfRule>
  </conditionalFormatting>
  <conditionalFormatting sqref="BS136:BS142">
    <cfRule type="dataBar" priority="581">
      <dataBar>
        <cfvo type="min"/>
        <cfvo type="max"/>
        <color rgb="FFFFB628"/>
      </dataBar>
    </cfRule>
  </conditionalFormatting>
  <conditionalFormatting sqref="BS148:BS154">
    <cfRule type="dataBar" priority="647">
      <dataBar>
        <cfvo type="min"/>
        <cfvo type="max"/>
        <color rgb="FFFFB628"/>
      </dataBar>
    </cfRule>
  </conditionalFormatting>
  <conditionalFormatting sqref="BS160:BS237">
    <cfRule type="dataBar" priority="713">
      <dataBar>
        <cfvo type="min"/>
        <cfvo type="max"/>
        <color rgb="FFFFB628"/>
      </dataBar>
    </cfRule>
  </conditionalFormatting>
  <conditionalFormatting sqref="BS243:BS320">
    <cfRule type="dataBar" priority="779">
      <dataBar>
        <cfvo type="min"/>
        <cfvo type="max"/>
        <color rgb="FFFFB628"/>
      </dataBar>
    </cfRule>
  </conditionalFormatting>
  <conditionalFormatting sqref="BS326:BS329">
    <cfRule type="dataBar" priority="845">
      <dataBar>
        <cfvo type="min"/>
        <cfvo type="max"/>
        <color rgb="FFFFB628"/>
      </dataBar>
    </cfRule>
  </conditionalFormatting>
  <conditionalFormatting sqref="BS335:BS341">
    <cfRule type="dataBar" priority="911">
      <dataBar>
        <cfvo type="min"/>
        <cfvo type="max"/>
        <color rgb="FFFFB628"/>
      </dataBar>
    </cfRule>
  </conditionalFormatting>
  <conditionalFormatting sqref="BS347:BS351">
    <cfRule type="dataBar" priority="977">
      <dataBar>
        <cfvo type="min"/>
        <cfvo type="max"/>
        <color rgb="FFFFB628"/>
      </dataBar>
    </cfRule>
  </conditionalFormatting>
  <conditionalFormatting sqref="BS357:BS360">
    <cfRule type="dataBar" priority="1043">
      <dataBar>
        <cfvo type="min"/>
        <cfvo type="max"/>
        <color rgb="FFFFB628"/>
      </dataBar>
    </cfRule>
  </conditionalFormatting>
  <conditionalFormatting sqref="BS366:BS372">
    <cfRule type="dataBar" priority="1109">
      <dataBar>
        <cfvo type="min"/>
        <cfvo type="max"/>
        <color rgb="FFFFB628"/>
      </dataBar>
    </cfRule>
  </conditionalFormatting>
  <conditionalFormatting sqref="BS378:BS382">
    <cfRule type="dataBar" priority="1175">
      <dataBar>
        <cfvo type="min"/>
        <cfvo type="max"/>
        <color rgb="FFFFB628"/>
      </dataBar>
    </cfRule>
  </conditionalFormatting>
  <conditionalFormatting sqref="BS388:BS391">
    <cfRule type="dataBar" priority="1241">
      <dataBar>
        <cfvo type="min"/>
        <cfvo type="max"/>
        <color rgb="FFFFB628"/>
      </dataBar>
    </cfRule>
  </conditionalFormatting>
  <conditionalFormatting sqref="BS397:BS403">
    <cfRule type="dataBar" priority="1307">
      <dataBar>
        <cfvo type="min"/>
        <cfvo type="max"/>
        <color rgb="FFFFB628"/>
      </dataBar>
    </cfRule>
  </conditionalFormatting>
  <conditionalFormatting sqref="BS409:BS413">
    <cfRule type="dataBar" priority="1373">
      <dataBar>
        <cfvo type="min"/>
        <cfvo type="max"/>
        <color rgb="FFFFB628"/>
      </dataBar>
    </cfRule>
  </conditionalFormatting>
  <conditionalFormatting sqref="BS419:BS422">
    <cfRule type="dataBar" priority="1439">
      <dataBar>
        <cfvo type="min"/>
        <cfvo type="max"/>
        <color rgb="FFFFB628"/>
      </dataBar>
    </cfRule>
  </conditionalFormatting>
  <conditionalFormatting sqref="BS428:BS434">
    <cfRule type="dataBar" priority="1505">
      <dataBar>
        <cfvo type="min"/>
        <cfvo type="max"/>
        <color rgb="FFFFB628"/>
      </dataBar>
    </cfRule>
  </conditionalFormatting>
  <conditionalFormatting sqref="BS440:BS444">
    <cfRule type="dataBar" priority="1571">
      <dataBar>
        <cfvo type="min"/>
        <cfvo type="max"/>
        <color rgb="FFFFB628"/>
      </dataBar>
    </cfRule>
  </conditionalFormatting>
  <conditionalFormatting sqref="BS450:BS453">
    <cfRule type="dataBar" priority="1637">
      <dataBar>
        <cfvo type="min"/>
        <cfvo type="max"/>
        <color rgb="FFFFB628"/>
      </dataBar>
    </cfRule>
  </conditionalFormatting>
  <conditionalFormatting sqref="BS459:BS465">
    <cfRule type="dataBar" priority="1703">
      <dataBar>
        <cfvo type="min"/>
        <cfvo type="max"/>
        <color rgb="FFFFB628"/>
      </dataBar>
    </cfRule>
  </conditionalFormatting>
  <conditionalFormatting sqref="BS471:BS475">
    <cfRule type="dataBar" priority="1769">
      <dataBar>
        <cfvo type="min"/>
        <cfvo type="max"/>
        <color rgb="FFFFB628"/>
      </dataBar>
    </cfRule>
  </conditionalFormatting>
  <conditionalFormatting sqref="BS481:BS483">
    <cfRule type="dataBar" priority="1835">
      <dataBar>
        <cfvo type="min"/>
        <cfvo type="max"/>
        <color rgb="FFFFB628"/>
      </dataBar>
    </cfRule>
  </conditionalFormatting>
  <conditionalFormatting sqref="BS489:BS600">
    <cfRule type="dataBar" priority="1901">
      <dataBar>
        <cfvo type="min"/>
        <cfvo type="max"/>
        <color rgb="FFFFB628"/>
      </dataBar>
    </cfRule>
  </conditionalFormatting>
  <conditionalFormatting sqref="BS606:BS613">
    <cfRule type="dataBar" priority="1967">
      <dataBar>
        <cfvo type="min"/>
        <cfvo type="max"/>
        <color rgb="FFFFB628"/>
      </dataBar>
    </cfRule>
  </conditionalFormatting>
  <conditionalFormatting sqref="BS619:BS626">
    <cfRule type="dataBar" priority="2033">
      <dataBar>
        <cfvo type="min"/>
        <cfvo type="max"/>
        <color rgb="FFFFB628"/>
      </dataBar>
    </cfRule>
  </conditionalFormatting>
  <conditionalFormatting sqref="BT6:BT8">
    <cfRule type="dataBar" priority="54">
      <dataBar>
        <cfvo type="min"/>
        <cfvo type="max"/>
        <color rgb="FFF08D5B"/>
      </dataBar>
    </cfRule>
  </conditionalFormatting>
  <conditionalFormatting sqref="BT14:BT19">
    <cfRule type="dataBar" priority="120">
      <dataBar>
        <cfvo type="min"/>
        <cfvo type="max"/>
        <color rgb="FFF08D5B"/>
      </dataBar>
    </cfRule>
  </conditionalFormatting>
  <conditionalFormatting sqref="BT25:BT75">
    <cfRule type="dataBar" priority="186">
      <dataBar>
        <cfvo type="min"/>
        <cfvo type="max"/>
        <color rgb="FFF08D5B"/>
      </dataBar>
    </cfRule>
  </conditionalFormatting>
  <conditionalFormatting sqref="BT81:BT83">
    <cfRule type="dataBar" priority="252">
      <dataBar>
        <cfvo type="min"/>
        <cfvo type="max"/>
        <color rgb="FFF08D5B"/>
      </dataBar>
    </cfRule>
  </conditionalFormatting>
  <conditionalFormatting sqref="BT89:BT92">
    <cfRule type="dataBar" priority="318">
      <dataBar>
        <cfvo type="min"/>
        <cfvo type="max"/>
        <color rgb="FFF08D5B"/>
      </dataBar>
    </cfRule>
  </conditionalFormatting>
  <conditionalFormatting sqref="BT98:BT108">
    <cfRule type="dataBar" priority="384">
      <dataBar>
        <cfvo type="min"/>
        <cfvo type="max"/>
        <color rgb="FFF08D5B"/>
      </dataBar>
    </cfRule>
  </conditionalFormatting>
  <conditionalFormatting sqref="BT114:BT120">
    <cfRule type="dataBar" priority="450">
      <dataBar>
        <cfvo type="min"/>
        <cfvo type="max"/>
        <color rgb="FFF08D5B"/>
      </dataBar>
    </cfRule>
  </conditionalFormatting>
  <conditionalFormatting sqref="BT126:BT130">
    <cfRule type="dataBar" priority="516">
      <dataBar>
        <cfvo type="min"/>
        <cfvo type="max"/>
        <color rgb="FFF08D5B"/>
      </dataBar>
    </cfRule>
  </conditionalFormatting>
  <conditionalFormatting sqref="BT136:BT142">
    <cfRule type="dataBar" priority="582">
      <dataBar>
        <cfvo type="min"/>
        <cfvo type="max"/>
        <color rgb="FFF08D5B"/>
      </dataBar>
    </cfRule>
  </conditionalFormatting>
  <conditionalFormatting sqref="BT148:BT154">
    <cfRule type="dataBar" priority="648">
      <dataBar>
        <cfvo type="min"/>
        <cfvo type="max"/>
        <color rgb="FFF08D5B"/>
      </dataBar>
    </cfRule>
  </conditionalFormatting>
  <conditionalFormatting sqref="BT160:BT237">
    <cfRule type="dataBar" priority="714">
      <dataBar>
        <cfvo type="min"/>
        <cfvo type="max"/>
        <color rgb="FFF08D5B"/>
      </dataBar>
    </cfRule>
  </conditionalFormatting>
  <conditionalFormatting sqref="BT243:BT320">
    <cfRule type="dataBar" priority="780">
      <dataBar>
        <cfvo type="min"/>
        <cfvo type="max"/>
        <color rgb="FFF08D5B"/>
      </dataBar>
    </cfRule>
  </conditionalFormatting>
  <conditionalFormatting sqref="BT326:BT329">
    <cfRule type="dataBar" priority="846">
      <dataBar>
        <cfvo type="min"/>
        <cfvo type="max"/>
        <color rgb="FFF08D5B"/>
      </dataBar>
    </cfRule>
  </conditionalFormatting>
  <conditionalFormatting sqref="BT335:BT341">
    <cfRule type="dataBar" priority="912">
      <dataBar>
        <cfvo type="min"/>
        <cfvo type="max"/>
        <color rgb="FFF08D5B"/>
      </dataBar>
    </cfRule>
  </conditionalFormatting>
  <conditionalFormatting sqref="BT347:BT351">
    <cfRule type="dataBar" priority="978">
      <dataBar>
        <cfvo type="min"/>
        <cfvo type="max"/>
        <color rgb="FFF08D5B"/>
      </dataBar>
    </cfRule>
  </conditionalFormatting>
  <conditionalFormatting sqref="BT357:BT360">
    <cfRule type="dataBar" priority="1044">
      <dataBar>
        <cfvo type="min"/>
        <cfvo type="max"/>
        <color rgb="FFF08D5B"/>
      </dataBar>
    </cfRule>
  </conditionalFormatting>
  <conditionalFormatting sqref="BT366:BT372">
    <cfRule type="dataBar" priority="1110">
      <dataBar>
        <cfvo type="min"/>
        <cfvo type="max"/>
        <color rgb="FFF08D5B"/>
      </dataBar>
    </cfRule>
  </conditionalFormatting>
  <conditionalFormatting sqref="BT378:BT382">
    <cfRule type="dataBar" priority="1176">
      <dataBar>
        <cfvo type="min"/>
        <cfvo type="max"/>
        <color rgb="FFF08D5B"/>
      </dataBar>
    </cfRule>
  </conditionalFormatting>
  <conditionalFormatting sqref="BT388:BT391">
    <cfRule type="dataBar" priority="1242">
      <dataBar>
        <cfvo type="min"/>
        <cfvo type="max"/>
        <color rgb="FFF08D5B"/>
      </dataBar>
    </cfRule>
  </conditionalFormatting>
  <conditionalFormatting sqref="BT397:BT403">
    <cfRule type="dataBar" priority="1308">
      <dataBar>
        <cfvo type="min"/>
        <cfvo type="max"/>
        <color rgb="FFF08D5B"/>
      </dataBar>
    </cfRule>
  </conditionalFormatting>
  <conditionalFormatting sqref="BT409:BT413">
    <cfRule type="dataBar" priority="1374">
      <dataBar>
        <cfvo type="min"/>
        <cfvo type="max"/>
        <color rgb="FFF08D5B"/>
      </dataBar>
    </cfRule>
  </conditionalFormatting>
  <conditionalFormatting sqref="BT419:BT422">
    <cfRule type="dataBar" priority="1440">
      <dataBar>
        <cfvo type="min"/>
        <cfvo type="max"/>
        <color rgb="FFF08D5B"/>
      </dataBar>
    </cfRule>
  </conditionalFormatting>
  <conditionalFormatting sqref="BT428:BT434">
    <cfRule type="dataBar" priority="1506">
      <dataBar>
        <cfvo type="min"/>
        <cfvo type="max"/>
        <color rgb="FFF08D5B"/>
      </dataBar>
    </cfRule>
  </conditionalFormatting>
  <conditionalFormatting sqref="BT440:BT444">
    <cfRule type="dataBar" priority="1572">
      <dataBar>
        <cfvo type="min"/>
        <cfvo type="max"/>
        <color rgb="FFF08D5B"/>
      </dataBar>
    </cfRule>
  </conditionalFormatting>
  <conditionalFormatting sqref="BT450:BT453">
    <cfRule type="dataBar" priority="1638">
      <dataBar>
        <cfvo type="min"/>
        <cfvo type="max"/>
        <color rgb="FFF08D5B"/>
      </dataBar>
    </cfRule>
  </conditionalFormatting>
  <conditionalFormatting sqref="BT459:BT465">
    <cfRule type="dataBar" priority="1704">
      <dataBar>
        <cfvo type="min"/>
        <cfvo type="max"/>
        <color rgb="FFF08D5B"/>
      </dataBar>
    </cfRule>
  </conditionalFormatting>
  <conditionalFormatting sqref="BT471:BT475">
    <cfRule type="dataBar" priority="1770">
      <dataBar>
        <cfvo type="min"/>
        <cfvo type="max"/>
        <color rgb="FFF08D5B"/>
      </dataBar>
    </cfRule>
  </conditionalFormatting>
  <conditionalFormatting sqref="BT481:BT483">
    <cfRule type="dataBar" priority="1836">
      <dataBar>
        <cfvo type="min"/>
        <cfvo type="max"/>
        <color rgb="FFF08D5B"/>
      </dataBar>
    </cfRule>
  </conditionalFormatting>
  <conditionalFormatting sqref="BT489:BT600">
    <cfRule type="dataBar" priority="1902">
      <dataBar>
        <cfvo type="min"/>
        <cfvo type="max"/>
        <color rgb="FFF08D5B"/>
      </dataBar>
    </cfRule>
  </conditionalFormatting>
  <conditionalFormatting sqref="BT606:BT613">
    <cfRule type="dataBar" priority="1968">
      <dataBar>
        <cfvo type="min"/>
        <cfvo type="max"/>
        <color rgb="FFF08D5B"/>
      </dataBar>
    </cfRule>
  </conditionalFormatting>
  <conditionalFormatting sqref="BT619:BT626">
    <cfRule type="dataBar" priority="2034">
      <dataBar>
        <cfvo type="min"/>
        <cfvo type="max"/>
        <color rgb="FFF08D5B"/>
      </dataBar>
    </cfRule>
  </conditionalFormatting>
  <conditionalFormatting sqref="BV6:BV8">
    <cfRule type="dataBar" priority="55">
      <dataBar>
        <cfvo type="min"/>
        <cfvo type="max"/>
        <color rgb="FF628DC4"/>
      </dataBar>
    </cfRule>
  </conditionalFormatting>
  <conditionalFormatting sqref="BV14:BV19">
    <cfRule type="dataBar" priority="121">
      <dataBar>
        <cfvo type="min"/>
        <cfvo type="max"/>
        <color rgb="FF628DC4"/>
      </dataBar>
    </cfRule>
  </conditionalFormatting>
  <conditionalFormatting sqref="BV25:BV75">
    <cfRule type="dataBar" priority="187">
      <dataBar>
        <cfvo type="min"/>
        <cfvo type="max"/>
        <color rgb="FF628DC4"/>
      </dataBar>
    </cfRule>
  </conditionalFormatting>
  <conditionalFormatting sqref="BV81:BV83">
    <cfRule type="dataBar" priority="253">
      <dataBar>
        <cfvo type="min"/>
        <cfvo type="max"/>
        <color rgb="FF628DC4"/>
      </dataBar>
    </cfRule>
  </conditionalFormatting>
  <conditionalFormatting sqref="BV89:BV92">
    <cfRule type="dataBar" priority="319">
      <dataBar>
        <cfvo type="min"/>
        <cfvo type="max"/>
        <color rgb="FF628DC4"/>
      </dataBar>
    </cfRule>
  </conditionalFormatting>
  <conditionalFormatting sqref="BV98:BV108">
    <cfRule type="dataBar" priority="385">
      <dataBar>
        <cfvo type="min"/>
        <cfvo type="max"/>
        <color rgb="FF628DC4"/>
      </dataBar>
    </cfRule>
  </conditionalFormatting>
  <conditionalFormatting sqref="BV114:BV120">
    <cfRule type="dataBar" priority="451">
      <dataBar>
        <cfvo type="min"/>
        <cfvo type="max"/>
        <color rgb="FF628DC4"/>
      </dataBar>
    </cfRule>
  </conditionalFormatting>
  <conditionalFormatting sqref="BV126:BV130">
    <cfRule type="dataBar" priority="517">
      <dataBar>
        <cfvo type="min"/>
        <cfvo type="max"/>
        <color rgb="FF628DC4"/>
      </dataBar>
    </cfRule>
  </conditionalFormatting>
  <conditionalFormatting sqref="BV136:BV142">
    <cfRule type="dataBar" priority="583">
      <dataBar>
        <cfvo type="min"/>
        <cfvo type="max"/>
        <color rgb="FF628DC4"/>
      </dataBar>
    </cfRule>
  </conditionalFormatting>
  <conditionalFormatting sqref="BV148:BV154">
    <cfRule type="dataBar" priority="649">
      <dataBar>
        <cfvo type="min"/>
        <cfvo type="max"/>
        <color rgb="FF628DC4"/>
      </dataBar>
    </cfRule>
  </conditionalFormatting>
  <conditionalFormatting sqref="BV160:BV237">
    <cfRule type="dataBar" priority="715">
      <dataBar>
        <cfvo type="min"/>
        <cfvo type="max"/>
        <color rgb="FF628DC4"/>
      </dataBar>
    </cfRule>
  </conditionalFormatting>
  <conditionalFormatting sqref="BV243:BV320">
    <cfRule type="dataBar" priority="781">
      <dataBar>
        <cfvo type="min"/>
        <cfvo type="max"/>
        <color rgb="FF628DC4"/>
      </dataBar>
    </cfRule>
  </conditionalFormatting>
  <conditionalFormatting sqref="BV326:BV329">
    <cfRule type="dataBar" priority="847">
      <dataBar>
        <cfvo type="min"/>
        <cfvo type="max"/>
        <color rgb="FF628DC4"/>
      </dataBar>
    </cfRule>
  </conditionalFormatting>
  <conditionalFormatting sqref="BV335:BV341">
    <cfRule type="dataBar" priority="913">
      <dataBar>
        <cfvo type="min"/>
        <cfvo type="max"/>
        <color rgb="FF628DC4"/>
      </dataBar>
    </cfRule>
  </conditionalFormatting>
  <conditionalFormatting sqref="BV347:BV351">
    <cfRule type="dataBar" priority="979">
      <dataBar>
        <cfvo type="min"/>
        <cfvo type="max"/>
        <color rgb="FF628DC4"/>
      </dataBar>
    </cfRule>
  </conditionalFormatting>
  <conditionalFormatting sqref="BV357:BV360">
    <cfRule type="dataBar" priority="1045">
      <dataBar>
        <cfvo type="min"/>
        <cfvo type="max"/>
        <color rgb="FF628DC4"/>
      </dataBar>
    </cfRule>
  </conditionalFormatting>
  <conditionalFormatting sqref="BV366:BV372">
    <cfRule type="dataBar" priority="1111">
      <dataBar>
        <cfvo type="min"/>
        <cfvo type="max"/>
        <color rgb="FF628DC4"/>
      </dataBar>
    </cfRule>
  </conditionalFormatting>
  <conditionalFormatting sqref="BV378:BV382">
    <cfRule type="dataBar" priority="1177">
      <dataBar>
        <cfvo type="min"/>
        <cfvo type="max"/>
        <color rgb="FF628DC4"/>
      </dataBar>
    </cfRule>
  </conditionalFormatting>
  <conditionalFormatting sqref="BV388:BV391">
    <cfRule type="dataBar" priority="1243">
      <dataBar>
        <cfvo type="min"/>
        <cfvo type="max"/>
        <color rgb="FF628DC4"/>
      </dataBar>
    </cfRule>
  </conditionalFormatting>
  <conditionalFormatting sqref="BV397:BV403">
    <cfRule type="dataBar" priority="1309">
      <dataBar>
        <cfvo type="min"/>
        <cfvo type="max"/>
        <color rgb="FF628DC4"/>
      </dataBar>
    </cfRule>
  </conditionalFormatting>
  <conditionalFormatting sqref="BV409:BV413">
    <cfRule type="dataBar" priority="1375">
      <dataBar>
        <cfvo type="min"/>
        <cfvo type="max"/>
        <color rgb="FF628DC4"/>
      </dataBar>
    </cfRule>
  </conditionalFormatting>
  <conditionalFormatting sqref="BV419:BV422">
    <cfRule type="dataBar" priority="1441">
      <dataBar>
        <cfvo type="min"/>
        <cfvo type="max"/>
        <color rgb="FF628DC4"/>
      </dataBar>
    </cfRule>
  </conditionalFormatting>
  <conditionalFormatting sqref="BV428:BV434">
    <cfRule type="dataBar" priority="1507">
      <dataBar>
        <cfvo type="min"/>
        <cfvo type="max"/>
        <color rgb="FF628DC4"/>
      </dataBar>
    </cfRule>
  </conditionalFormatting>
  <conditionalFormatting sqref="BV440:BV444">
    <cfRule type="dataBar" priority="1573">
      <dataBar>
        <cfvo type="min"/>
        <cfvo type="max"/>
        <color rgb="FF628DC4"/>
      </dataBar>
    </cfRule>
  </conditionalFormatting>
  <conditionalFormatting sqref="BV450:BV453">
    <cfRule type="dataBar" priority="1639">
      <dataBar>
        <cfvo type="min"/>
        <cfvo type="max"/>
        <color rgb="FF628DC4"/>
      </dataBar>
    </cfRule>
  </conditionalFormatting>
  <conditionalFormatting sqref="BV459:BV465">
    <cfRule type="dataBar" priority="1705">
      <dataBar>
        <cfvo type="min"/>
        <cfvo type="max"/>
        <color rgb="FF628DC4"/>
      </dataBar>
    </cfRule>
  </conditionalFormatting>
  <conditionalFormatting sqref="BV471:BV475">
    <cfRule type="dataBar" priority="1771">
      <dataBar>
        <cfvo type="min"/>
        <cfvo type="max"/>
        <color rgb="FF628DC4"/>
      </dataBar>
    </cfRule>
  </conditionalFormatting>
  <conditionalFormatting sqref="BV481:BV483">
    <cfRule type="dataBar" priority="1837">
      <dataBar>
        <cfvo type="min"/>
        <cfvo type="max"/>
        <color rgb="FF628DC4"/>
      </dataBar>
    </cfRule>
  </conditionalFormatting>
  <conditionalFormatting sqref="BV489:BV600">
    <cfRule type="dataBar" priority="1903">
      <dataBar>
        <cfvo type="min"/>
        <cfvo type="max"/>
        <color rgb="FF628DC4"/>
      </dataBar>
    </cfRule>
  </conditionalFormatting>
  <conditionalFormatting sqref="BV606:BV613">
    <cfRule type="dataBar" priority="1969">
      <dataBar>
        <cfvo type="min"/>
        <cfvo type="max"/>
        <color rgb="FF628DC4"/>
      </dataBar>
    </cfRule>
  </conditionalFormatting>
  <conditionalFormatting sqref="BV619:BV626">
    <cfRule type="dataBar" priority="2035">
      <dataBar>
        <cfvo type="min"/>
        <cfvo type="max"/>
        <color rgb="FF628DC4"/>
      </dataBar>
    </cfRule>
  </conditionalFormatting>
  <conditionalFormatting sqref="BW6:BW8">
    <cfRule type="dataBar" priority="56">
      <dataBar>
        <cfvo type="min"/>
        <cfvo type="max"/>
        <color rgb="FFFFB628"/>
      </dataBar>
    </cfRule>
  </conditionalFormatting>
  <conditionalFormatting sqref="BW14:BW19">
    <cfRule type="dataBar" priority="122">
      <dataBar>
        <cfvo type="min"/>
        <cfvo type="max"/>
        <color rgb="FFFFB628"/>
      </dataBar>
    </cfRule>
  </conditionalFormatting>
  <conditionalFormatting sqref="BW25:BW75">
    <cfRule type="dataBar" priority="188">
      <dataBar>
        <cfvo type="min"/>
        <cfvo type="max"/>
        <color rgb="FFFFB628"/>
      </dataBar>
    </cfRule>
  </conditionalFormatting>
  <conditionalFormatting sqref="BW81:BW83">
    <cfRule type="dataBar" priority="254">
      <dataBar>
        <cfvo type="min"/>
        <cfvo type="max"/>
        <color rgb="FFFFB628"/>
      </dataBar>
    </cfRule>
  </conditionalFormatting>
  <conditionalFormatting sqref="BW89:BW92">
    <cfRule type="dataBar" priority="320">
      <dataBar>
        <cfvo type="min"/>
        <cfvo type="max"/>
        <color rgb="FFFFB628"/>
      </dataBar>
    </cfRule>
  </conditionalFormatting>
  <conditionalFormatting sqref="BW98:BW108">
    <cfRule type="dataBar" priority="386">
      <dataBar>
        <cfvo type="min"/>
        <cfvo type="max"/>
        <color rgb="FFFFB628"/>
      </dataBar>
    </cfRule>
  </conditionalFormatting>
  <conditionalFormatting sqref="BW114:BW120">
    <cfRule type="dataBar" priority="452">
      <dataBar>
        <cfvo type="min"/>
        <cfvo type="max"/>
        <color rgb="FFFFB628"/>
      </dataBar>
    </cfRule>
  </conditionalFormatting>
  <conditionalFormatting sqref="BW126:BW130">
    <cfRule type="dataBar" priority="518">
      <dataBar>
        <cfvo type="min"/>
        <cfvo type="max"/>
        <color rgb="FFFFB628"/>
      </dataBar>
    </cfRule>
  </conditionalFormatting>
  <conditionalFormatting sqref="BW136:BW142">
    <cfRule type="dataBar" priority="584">
      <dataBar>
        <cfvo type="min"/>
        <cfvo type="max"/>
        <color rgb="FFFFB628"/>
      </dataBar>
    </cfRule>
  </conditionalFormatting>
  <conditionalFormatting sqref="BW148:BW154">
    <cfRule type="dataBar" priority="650">
      <dataBar>
        <cfvo type="min"/>
        <cfvo type="max"/>
        <color rgb="FFFFB628"/>
      </dataBar>
    </cfRule>
  </conditionalFormatting>
  <conditionalFormatting sqref="BW160:BW237">
    <cfRule type="dataBar" priority="716">
      <dataBar>
        <cfvo type="min"/>
        <cfvo type="max"/>
        <color rgb="FFFFB628"/>
      </dataBar>
    </cfRule>
  </conditionalFormatting>
  <conditionalFormatting sqref="BW243:BW320">
    <cfRule type="dataBar" priority="782">
      <dataBar>
        <cfvo type="min"/>
        <cfvo type="max"/>
        <color rgb="FFFFB628"/>
      </dataBar>
    </cfRule>
  </conditionalFormatting>
  <conditionalFormatting sqref="BW326:BW329">
    <cfRule type="dataBar" priority="848">
      <dataBar>
        <cfvo type="min"/>
        <cfvo type="max"/>
        <color rgb="FFFFB628"/>
      </dataBar>
    </cfRule>
  </conditionalFormatting>
  <conditionalFormatting sqref="BW335:BW341">
    <cfRule type="dataBar" priority="914">
      <dataBar>
        <cfvo type="min"/>
        <cfvo type="max"/>
        <color rgb="FFFFB628"/>
      </dataBar>
    </cfRule>
  </conditionalFormatting>
  <conditionalFormatting sqref="BW347:BW351">
    <cfRule type="dataBar" priority="980">
      <dataBar>
        <cfvo type="min"/>
        <cfvo type="max"/>
        <color rgb="FFFFB628"/>
      </dataBar>
    </cfRule>
  </conditionalFormatting>
  <conditionalFormatting sqref="BW357:BW360">
    <cfRule type="dataBar" priority="1046">
      <dataBar>
        <cfvo type="min"/>
        <cfvo type="max"/>
        <color rgb="FFFFB628"/>
      </dataBar>
    </cfRule>
  </conditionalFormatting>
  <conditionalFormatting sqref="BW366:BW372">
    <cfRule type="dataBar" priority="1112">
      <dataBar>
        <cfvo type="min"/>
        <cfvo type="max"/>
        <color rgb="FFFFB628"/>
      </dataBar>
    </cfRule>
  </conditionalFormatting>
  <conditionalFormatting sqref="BW378:BW382">
    <cfRule type="dataBar" priority="1178">
      <dataBar>
        <cfvo type="min"/>
        <cfvo type="max"/>
        <color rgb="FFFFB628"/>
      </dataBar>
    </cfRule>
  </conditionalFormatting>
  <conditionalFormatting sqref="BW388:BW391">
    <cfRule type="dataBar" priority="1244">
      <dataBar>
        <cfvo type="min"/>
        <cfvo type="max"/>
        <color rgb="FFFFB628"/>
      </dataBar>
    </cfRule>
  </conditionalFormatting>
  <conditionalFormatting sqref="BW397:BW403">
    <cfRule type="dataBar" priority="1310">
      <dataBar>
        <cfvo type="min"/>
        <cfvo type="max"/>
        <color rgb="FFFFB628"/>
      </dataBar>
    </cfRule>
  </conditionalFormatting>
  <conditionalFormatting sqref="BW409:BW413">
    <cfRule type="dataBar" priority="1376">
      <dataBar>
        <cfvo type="min"/>
        <cfvo type="max"/>
        <color rgb="FFFFB628"/>
      </dataBar>
    </cfRule>
  </conditionalFormatting>
  <conditionalFormatting sqref="BW419:BW422">
    <cfRule type="dataBar" priority="1442">
      <dataBar>
        <cfvo type="min"/>
        <cfvo type="max"/>
        <color rgb="FFFFB628"/>
      </dataBar>
    </cfRule>
  </conditionalFormatting>
  <conditionalFormatting sqref="BW428:BW434">
    <cfRule type="dataBar" priority="1508">
      <dataBar>
        <cfvo type="min"/>
        <cfvo type="max"/>
        <color rgb="FFFFB628"/>
      </dataBar>
    </cfRule>
  </conditionalFormatting>
  <conditionalFormatting sqref="BW440:BW444">
    <cfRule type="dataBar" priority="1574">
      <dataBar>
        <cfvo type="min"/>
        <cfvo type="max"/>
        <color rgb="FFFFB628"/>
      </dataBar>
    </cfRule>
  </conditionalFormatting>
  <conditionalFormatting sqref="BW450:BW453">
    <cfRule type="dataBar" priority="1640">
      <dataBar>
        <cfvo type="min"/>
        <cfvo type="max"/>
        <color rgb="FFFFB628"/>
      </dataBar>
    </cfRule>
  </conditionalFormatting>
  <conditionalFormatting sqref="BW459:BW465">
    <cfRule type="dataBar" priority="1706">
      <dataBar>
        <cfvo type="min"/>
        <cfvo type="max"/>
        <color rgb="FFFFB628"/>
      </dataBar>
    </cfRule>
  </conditionalFormatting>
  <conditionalFormatting sqref="BW471:BW475">
    <cfRule type="dataBar" priority="1772">
      <dataBar>
        <cfvo type="min"/>
        <cfvo type="max"/>
        <color rgb="FFFFB628"/>
      </dataBar>
    </cfRule>
  </conditionalFormatting>
  <conditionalFormatting sqref="BW481:BW483">
    <cfRule type="dataBar" priority="1838">
      <dataBar>
        <cfvo type="min"/>
        <cfvo type="max"/>
        <color rgb="FFFFB628"/>
      </dataBar>
    </cfRule>
  </conditionalFormatting>
  <conditionalFormatting sqref="BW489:BW600">
    <cfRule type="dataBar" priority="1904">
      <dataBar>
        <cfvo type="min"/>
        <cfvo type="max"/>
        <color rgb="FFFFB628"/>
      </dataBar>
    </cfRule>
  </conditionalFormatting>
  <conditionalFormatting sqref="BW606:BW613">
    <cfRule type="dataBar" priority="1970">
      <dataBar>
        <cfvo type="min"/>
        <cfvo type="max"/>
        <color rgb="FFFFB628"/>
      </dataBar>
    </cfRule>
  </conditionalFormatting>
  <conditionalFormatting sqref="BW619:BW626">
    <cfRule type="dataBar" priority="2036">
      <dataBar>
        <cfvo type="min"/>
        <cfvo type="max"/>
        <color rgb="FFFFB628"/>
      </dataBar>
    </cfRule>
  </conditionalFormatting>
  <conditionalFormatting sqref="BX6:BX8">
    <cfRule type="dataBar" priority="57">
      <dataBar>
        <cfvo type="min"/>
        <cfvo type="max"/>
        <color rgb="FFF08D5B"/>
      </dataBar>
    </cfRule>
  </conditionalFormatting>
  <conditionalFormatting sqref="BX14:BX19">
    <cfRule type="dataBar" priority="123">
      <dataBar>
        <cfvo type="min"/>
        <cfvo type="max"/>
        <color rgb="FFF08D5B"/>
      </dataBar>
    </cfRule>
  </conditionalFormatting>
  <conditionalFormatting sqref="BX25:BX75">
    <cfRule type="dataBar" priority="189">
      <dataBar>
        <cfvo type="min"/>
        <cfvo type="max"/>
        <color rgb="FFF08D5B"/>
      </dataBar>
    </cfRule>
  </conditionalFormatting>
  <conditionalFormatting sqref="BX81:BX83">
    <cfRule type="dataBar" priority="255">
      <dataBar>
        <cfvo type="min"/>
        <cfvo type="max"/>
        <color rgb="FFF08D5B"/>
      </dataBar>
    </cfRule>
  </conditionalFormatting>
  <conditionalFormatting sqref="BX89:BX92">
    <cfRule type="dataBar" priority="321">
      <dataBar>
        <cfvo type="min"/>
        <cfvo type="max"/>
        <color rgb="FFF08D5B"/>
      </dataBar>
    </cfRule>
  </conditionalFormatting>
  <conditionalFormatting sqref="BX98:BX108">
    <cfRule type="dataBar" priority="387">
      <dataBar>
        <cfvo type="min"/>
        <cfvo type="max"/>
        <color rgb="FFF08D5B"/>
      </dataBar>
    </cfRule>
  </conditionalFormatting>
  <conditionalFormatting sqref="BX114:BX120">
    <cfRule type="dataBar" priority="453">
      <dataBar>
        <cfvo type="min"/>
        <cfvo type="max"/>
        <color rgb="FFF08D5B"/>
      </dataBar>
    </cfRule>
  </conditionalFormatting>
  <conditionalFormatting sqref="BX126:BX130">
    <cfRule type="dataBar" priority="519">
      <dataBar>
        <cfvo type="min"/>
        <cfvo type="max"/>
        <color rgb="FFF08D5B"/>
      </dataBar>
    </cfRule>
  </conditionalFormatting>
  <conditionalFormatting sqref="BX136:BX142">
    <cfRule type="dataBar" priority="585">
      <dataBar>
        <cfvo type="min"/>
        <cfvo type="max"/>
        <color rgb="FFF08D5B"/>
      </dataBar>
    </cfRule>
  </conditionalFormatting>
  <conditionalFormatting sqref="BX148:BX154">
    <cfRule type="dataBar" priority="651">
      <dataBar>
        <cfvo type="min"/>
        <cfvo type="max"/>
        <color rgb="FFF08D5B"/>
      </dataBar>
    </cfRule>
  </conditionalFormatting>
  <conditionalFormatting sqref="BX160:BX237">
    <cfRule type="dataBar" priority="717">
      <dataBar>
        <cfvo type="min"/>
        <cfvo type="max"/>
        <color rgb="FFF08D5B"/>
      </dataBar>
    </cfRule>
  </conditionalFormatting>
  <conditionalFormatting sqref="BX243:BX320">
    <cfRule type="dataBar" priority="783">
      <dataBar>
        <cfvo type="min"/>
        <cfvo type="max"/>
        <color rgb="FFF08D5B"/>
      </dataBar>
    </cfRule>
  </conditionalFormatting>
  <conditionalFormatting sqref="BX326:BX329">
    <cfRule type="dataBar" priority="849">
      <dataBar>
        <cfvo type="min"/>
        <cfvo type="max"/>
        <color rgb="FFF08D5B"/>
      </dataBar>
    </cfRule>
  </conditionalFormatting>
  <conditionalFormatting sqref="BX335:BX341">
    <cfRule type="dataBar" priority="915">
      <dataBar>
        <cfvo type="min"/>
        <cfvo type="max"/>
        <color rgb="FFF08D5B"/>
      </dataBar>
    </cfRule>
  </conditionalFormatting>
  <conditionalFormatting sqref="BX347:BX351">
    <cfRule type="dataBar" priority="981">
      <dataBar>
        <cfvo type="min"/>
        <cfvo type="max"/>
        <color rgb="FFF08D5B"/>
      </dataBar>
    </cfRule>
  </conditionalFormatting>
  <conditionalFormatting sqref="BX357:BX360">
    <cfRule type="dataBar" priority="1047">
      <dataBar>
        <cfvo type="min"/>
        <cfvo type="max"/>
        <color rgb="FFF08D5B"/>
      </dataBar>
    </cfRule>
  </conditionalFormatting>
  <conditionalFormatting sqref="BX366:BX372">
    <cfRule type="dataBar" priority="1113">
      <dataBar>
        <cfvo type="min"/>
        <cfvo type="max"/>
        <color rgb="FFF08D5B"/>
      </dataBar>
    </cfRule>
  </conditionalFormatting>
  <conditionalFormatting sqref="BX378:BX382">
    <cfRule type="dataBar" priority="1179">
      <dataBar>
        <cfvo type="min"/>
        <cfvo type="max"/>
        <color rgb="FFF08D5B"/>
      </dataBar>
    </cfRule>
  </conditionalFormatting>
  <conditionalFormatting sqref="BX388:BX391">
    <cfRule type="dataBar" priority="1245">
      <dataBar>
        <cfvo type="min"/>
        <cfvo type="max"/>
        <color rgb="FFF08D5B"/>
      </dataBar>
    </cfRule>
  </conditionalFormatting>
  <conditionalFormatting sqref="BX397:BX403">
    <cfRule type="dataBar" priority="1311">
      <dataBar>
        <cfvo type="min"/>
        <cfvo type="max"/>
        <color rgb="FFF08D5B"/>
      </dataBar>
    </cfRule>
  </conditionalFormatting>
  <conditionalFormatting sqref="BX409:BX413">
    <cfRule type="dataBar" priority="1377">
      <dataBar>
        <cfvo type="min"/>
        <cfvo type="max"/>
        <color rgb="FFF08D5B"/>
      </dataBar>
    </cfRule>
  </conditionalFormatting>
  <conditionalFormatting sqref="BX419:BX422">
    <cfRule type="dataBar" priority="1443">
      <dataBar>
        <cfvo type="min"/>
        <cfvo type="max"/>
        <color rgb="FFF08D5B"/>
      </dataBar>
    </cfRule>
  </conditionalFormatting>
  <conditionalFormatting sqref="BX428:BX434">
    <cfRule type="dataBar" priority="1509">
      <dataBar>
        <cfvo type="min"/>
        <cfvo type="max"/>
        <color rgb="FFF08D5B"/>
      </dataBar>
    </cfRule>
  </conditionalFormatting>
  <conditionalFormatting sqref="BX440:BX444">
    <cfRule type="dataBar" priority="1575">
      <dataBar>
        <cfvo type="min"/>
        <cfvo type="max"/>
        <color rgb="FFF08D5B"/>
      </dataBar>
    </cfRule>
  </conditionalFormatting>
  <conditionalFormatting sqref="BX450:BX453">
    <cfRule type="dataBar" priority="1641">
      <dataBar>
        <cfvo type="min"/>
        <cfvo type="max"/>
        <color rgb="FFF08D5B"/>
      </dataBar>
    </cfRule>
  </conditionalFormatting>
  <conditionalFormatting sqref="BX459:BX465">
    <cfRule type="dataBar" priority="1707">
      <dataBar>
        <cfvo type="min"/>
        <cfvo type="max"/>
        <color rgb="FFF08D5B"/>
      </dataBar>
    </cfRule>
  </conditionalFormatting>
  <conditionalFormatting sqref="BX471:BX475">
    <cfRule type="dataBar" priority="1773">
      <dataBar>
        <cfvo type="min"/>
        <cfvo type="max"/>
        <color rgb="FFF08D5B"/>
      </dataBar>
    </cfRule>
  </conditionalFormatting>
  <conditionalFormatting sqref="BX481:BX483">
    <cfRule type="dataBar" priority="1839">
      <dataBar>
        <cfvo type="min"/>
        <cfvo type="max"/>
        <color rgb="FFF08D5B"/>
      </dataBar>
    </cfRule>
  </conditionalFormatting>
  <conditionalFormatting sqref="BX489:BX600">
    <cfRule type="dataBar" priority="1905">
      <dataBar>
        <cfvo type="min"/>
        <cfvo type="max"/>
        <color rgb="FFF08D5B"/>
      </dataBar>
    </cfRule>
  </conditionalFormatting>
  <conditionalFormatting sqref="BX606:BX613">
    <cfRule type="dataBar" priority="1971">
      <dataBar>
        <cfvo type="min"/>
        <cfvo type="max"/>
        <color rgb="FFF08D5B"/>
      </dataBar>
    </cfRule>
  </conditionalFormatting>
  <conditionalFormatting sqref="BX619:BX626">
    <cfRule type="dataBar" priority="2037">
      <dataBar>
        <cfvo type="min"/>
        <cfvo type="max"/>
        <color rgb="FFF08D5B"/>
      </dataBar>
    </cfRule>
  </conditionalFormatting>
  <conditionalFormatting sqref="BZ6:BZ8">
    <cfRule type="dataBar" priority="58">
      <dataBar>
        <cfvo type="min"/>
        <cfvo type="max"/>
        <color rgb="FF628DC4"/>
      </dataBar>
    </cfRule>
  </conditionalFormatting>
  <conditionalFormatting sqref="BZ14:BZ19">
    <cfRule type="dataBar" priority="124">
      <dataBar>
        <cfvo type="min"/>
        <cfvo type="max"/>
        <color rgb="FF628DC4"/>
      </dataBar>
    </cfRule>
  </conditionalFormatting>
  <conditionalFormatting sqref="BZ25:BZ75">
    <cfRule type="dataBar" priority="190">
      <dataBar>
        <cfvo type="min"/>
        <cfvo type="max"/>
        <color rgb="FF628DC4"/>
      </dataBar>
    </cfRule>
  </conditionalFormatting>
  <conditionalFormatting sqref="BZ81:BZ83">
    <cfRule type="dataBar" priority="256">
      <dataBar>
        <cfvo type="min"/>
        <cfvo type="max"/>
        <color rgb="FF628DC4"/>
      </dataBar>
    </cfRule>
  </conditionalFormatting>
  <conditionalFormatting sqref="BZ89:BZ92">
    <cfRule type="dataBar" priority="322">
      <dataBar>
        <cfvo type="min"/>
        <cfvo type="max"/>
        <color rgb="FF628DC4"/>
      </dataBar>
    </cfRule>
  </conditionalFormatting>
  <conditionalFormatting sqref="BZ98:BZ108">
    <cfRule type="dataBar" priority="388">
      <dataBar>
        <cfvo type="min"/>
        <cfvo type="max"/>
        <color rgb="FF628DC4"/>
      </dataBar>
    </cfRule>
  </conditionalFormatting>
  <conditionalFormatting sqref="BZ114:BZ120">
    <cfRule type="dataBar" priority="454">
      <dataBar>
        <cfvo type="min"/>
        <cfvo type="max"/>
        <color rgb="FF628DC4"/>
      </dataBar>
    </cfRule>
  </conditionalFormatting>
  <conditionalFormatting sqref="BZ126:BZ130">
    <cfRule type="dataBar" priority="520">
      <dataBar>
        <cfvo type="min"/>
        <cfvo type="max"/>
        <color rgb="FF628DC4"/>
      </dataBar>
    </cfRule>
  </conditionalFormatting>
  <conditionalFormatting sqref="BZ136:BZ142">
    <cfRule type="dataBar" priority="586">
      <dataBar>
        <cfvo type="min"/>
        <cfvo type="max"/>
        <color rgb="FF628DC4"/>
      </dataBar>
    </cfRule>
  </conditionalFormatting>
  <conditionalFormatting sqref="BZ148:BZ154">
    <cfRule type="dataBar" priority="652">
      <dataBar>
        <cfvo type="min"/>
        <cfvo type="max"/>
        <color rgb="FF628DC4"/>
      </dataBar>
    </cfRule>
  </conditionalFormatting>
  <conditionalFormatting sqref="BZ160:BZ237">
    <cfRule type="dataBar" priority="718">
      <dataBar>
        <cfvo type="min"/>
        <cfvo type="max"/>
        <color rgb="FF628DC4"/>
      </dataBar>
    </cfRule>
  </conditionalFormatting>
  <conditionalFormatting sqref="BZ243:BZ320">
    <cfRule type="dataBar" priority="784">
      <dataBar>
        <cfvo type="min"/>
        <cfvo type="max"/>
        <color rgb="FF628DC4"/>
      </dataBar>
    </cfRule>
  </conditionalFormatting>
  <conditionalFormatting sqref="BZ326:BZ329">
    <cfRule type="dataBar" priority="850">
      <dataBar>
        <cfvo type="min"/>
        <cfvo type="max"/>
        <color rgb="FF628DC4"/>
      </dataBar>
    </cfRule>
  </conditionalFormatting>
  <conditionalFormatting sqref="BZ335:BZ341">
    <cfRule type="dataBar" priority="916">
      <dataBar>
        <cfvo type="min"/>
        <cfvo type="max"/>
        <color rgb="FF628DC4"/>
      </dataBar>
    </cfRule>
  </conditionalFormatting>
  <conditionalFormatting sqref="BZ347:BZ351">
    <cfRule type="dataBar" priority="982">
      <dataBar>
        <cfvo type="min"/>
        <cfvo type="max"/>
        <color rgb="FF628DC4"/>
      </dataBar>
    </cfRule>
  </conditionalFormatting>
  <conditionalFormatting sqref="BZ357:BZ360">
    <cfRule type="dataBar" priority="1048">
      <dataBar>
        <cfvo type="min"/>
        <cfvo type="max"/>
        <color rgb="FF628DC4"/>
      </dataBar>
    </cfRule>
  </conditionalFormatting>
  <conditionalFormatting sqref="BZ366:BZ372">
    <cfRule type="dataBar" priority="1114">
      <dataBar>
        <cfvo type="min"/>
        <cfvo type="max"/>
        <color rgb="FF628DC4"/>
      </dataBar>
    </cfRule>
  </conditionalFormatting>
  <conditionalFormatting sqref="BZ378:BZ382">
    <cfRule type="dataBar" priority="1180">
      <dataBar>
        <cfvo type="min"/>
        <cfvo type="max"/>
        <color rgb="FF628DC4"/>
      </dataBar>
    </cfRule>
  </conditionalFormatting>
  <conditionalFormatting sqref="BZ388:BZ391">
    <cfRule type="dataBar" priority="1246">
      <dataBar>
        <cfvo type="min"/>
        <cfvo type="max"/>
        <color rgb="FF628DC4"/>
      </dataBar>
    </cfRule>
  </conditionalFormatting>
  <conditionalFormatting sqref="BZ397:BZ403">
    <cfRule type="dataBar" priority="1312">
      <dataBar>
        <cfvo type="min"/>
        <cfvo type="max"/>
        <color rgb="FF628DC4"/>
      </dataBar>
    </cfRule>
  </conditionalFormatting>
  <conditionalFormatting sqref="BZ409:BZ413">
    <cfRule type="dataBar" priority="1378">
      <dataBar>
        <cfvo type="min"/>
        <cfvo type="max"/>
        <color rgb="FF628DC4"/>
      </dataBar>
    </cfRule>
  </conditionalFormatting>
  <conditionalFormatting sqref="BZ419:BZ422">
    <cfRule type="dataBar" priority="1444">
      <dataBar>
        <cfvo type="min"/>
        <cfvo type="max"/>
        <color rgb="FF628DC4"/>
      </dataBar>
    </cfRule>
  </conditionalFormatting>
  <conditionalFormatting sqref="BZ428:BZ434">
    <cfRule type="dataBar" priority="1510">
      <dataBar>
        <cfvo type="min"/>
        <cfvo type="max"/>
        <color rgb="FF628DC4"/>
      </dataBar>
    </cfRule>
  </conditionalFormatting>
  <conditionalFormatting sqref="BZ440:BZ444">
    <cfRule type="dataBar" priority="1576">
      <dataBar>
        <cfvo type="min"/>
        <cfvo type="max"/>
        <color rgb="FF628DC4"/>
      </dataBar>
    </cfRule>
  </conditionalFormatting>
  <conditionalFormatting sqref="BZ450:BZ453">
    <cfRule type="dataBar" priority="1642">
      <dataBar>
        <cfvo type="min"/>
        <cfvo type="max"/>
        <color rgb="FF628DC4"/>
      </dataBar>
    </cfRule>
  </conditionalFormatting>
  <conditionalFormatting sqref="BZ459:BZ465">
    <cfRule type="dataBar" priority="1708">
      <dataBar>
        <cfvo type="min"/>
        <cfvo type="max"/>
        <color rgb="FF628DC4"/>
      </dataBar>
    </cfRule>
  </conditionalFormatting>
  <conditionalFormatting sqref="BZ471:BZ475">
    <cfRule type="dataBar" priority="1774">
      <dataBar>
        <cfvo type="min"/>
        <cfvo type="max"/>
        <color rgb="FF628DC4"/>
      </dataBar>
    </cfRule>
  </conditionalFormatting>
  <conditionalFormatting sqref="BZ481:BZ483">
    <cfRule type="dataBar" priority="1840">
      <dataBar>
        <cfvo type="min"/>
        <cfvo type="max"/>
        <color rgb="FF628DC4"/>
      </dataBar>
    </cfRule>
  </conditionalFormatting>
  <conditionalFormatting sqref="BZ489:BZ600">
    <cfRule type="dataBar" priority="1906">
      <dataBar>
        <cfvo type="min"/>
        <cfvo type="max"/>
        <color rgb="FF628DC4"/>
      </dataBar>
    </cfRule>
  </conditionalFormatting>
  <conditionalFormatting sqref="BZ606:BZ613">
    <cfRule type="dataBar" priority="1972">
      <dataBar>
        <cfvo type="min"/>
        <cfvo type="max"/>
        <color rgb="FF628DC4"/>
      </dataBar>
    </cfRule>
  </conditionalFormatting>
  <conditionalFormatting sqref="BZ619:BZ626">
    <cfRule type="dataBar" priority="2038">
      <dataBar>
        <cfvo type="min"/>
        <cfvo type="max"/>
        <color rgb="FF628DC4"/>
      </dataBar>
    </cfRule>
  </conditionalFormatting>
  <conditionalFormatting sqref="CA6:CA8">
    <cfRule type="dataBar" priority="59">
      <dataBar>
        <cfvo type="min"/>
        <cfvo type="max"/>
        <color rgb="FFFFB628"/>
      </dataBar>
    </cfRule>
  </conditionalFormatting>
  <conditionalFormatting sqref="CA14:CA19">
    <cfRule type="dataBar" priority="125">
      <dataBar>
        <cfvo type="min"/>
        <cfvo type="max"/>
        <color rgb="FFFFB628"/>
      </dataBar>
    </cfRule>
  </conditionalFormatting>
  <conditionalFormatting sqref="CA25:CA75">
    <cfRule type="dataBar" priority="191">
      <dataBar>
        <cfvo type="min"/>
        <cfvo type="max"/>
        <color rgb="FFFFB628"/>
      </dataBar>
    </cfRule>
  </conditionalFormatting>
  <conditionalFormatting sqref="CA81:CA83">
    <cfRule type="dataBar" priority="257">
      <dataBar>
        <cfvo type="min"/>
        <cfvo type="max"/>
        <color rgb="FFFFB628"/>
      </dataBar>
    </cfRule>
  </conditionalFormatting>
  <conditionalFormatting sqref="CA89:CA92">
    <cfRule type="dataBar" priority="323">
      <dataBar>
        <cfvo type="min"/>
        <cfvo type="max"/>
        <color rgb="FFFFB628"/>
      </dataBar>
    </cfRule>
  </conditionalFormatting>
  <conditionalFormatting sqref="CA98:CA108">
    <cfRule type="dataBar" priority="389">
      <dataBar>
        <cfvo type="min"/>
        <cfvo type="max"/>
        <color rgb="FFFFB628"/>
      </dataBar>
    </cfRule>
  </conditionalFormatting>
  <conditionalFormatting sqref="CA114:CA120">
    <cfRule type="dataBar" priority="455">
      <dataBar>
        <cfvo type="min"/>
        <cfvo type="max"/>
        <color rgb="FFFFB628"/>
      </dataBar>
    </cfRule>
  </conditionalFormatting>
  <conditionalFormatting sqref="CA126:CA130">
    <cfRule type="dataBar" priority="521">
      <dataBar>
        <cfvo type="min"/>
        <cfvo type="max"/>
        <color rgb="FFFFB628"/>
      </dataBar>
    </cfRule>
  </conditionalFormatting>
  <conditionalFormatting sqref="CA136:CA142">
    <cfRule type="dataBar" priority="587">
      <dataBar>
        <cfvo type="min"/>
        <cfvo type="max"/>
        <color rgb="FFFFB628"/>
      </dataBar>
    </cfRule>
  </conditionalFormatting>
  <conditionalFormatting sqref="CA148:CA154">
    <cfRule type="dataBar" priority="653">
      <dataBar>
        <cfvo type="min"/>
        <cfvo type="max"/>
        <color rgb="FFFFB628"/>
      </dataBar>
    </cfRule>
  </conditionalFormatting>
  <conditionalFormatting sqref="CA160:CA237">
    <cfRule type="dataBar" priority="719">
      <dataBar>
        <cfvo type="min"/>
        <cfvo type="max"/>
        <color rgb="FFFFB628"/>
      </dataBar>
    </cfRule>
  </conditionalFormatting>
  <conditionalFormatting sqref="CA243:CA320">
    <cfRule type="dataBar" priority="785">
      <dataBar>
        <cfvo type="min"/>
        <cfvo type="max"/>
        <color rgb="FFFFB628"/>
      </dataBar>
    </cfRule>
  </conditionalFormatting>
  <conditionalFormatting sqref="CA326:CA329">
    <cfRule type="dataBar" priority="851">
      <dataBar>
        <cfvo type="min"/>
        <cfvo type="max"/>
        <color rgb="FFFFB628"/>
      </dataBar>
    </cfRule>
  </conditionalFormatting>
  <conditionalFormatting sqref="CA335:CA341">
    <cfRule type="dataBar" priority="917">
      <dataBar>
        <cfvo type="min"/>
        <cfvo type="max"/>
        <color rgb="FFFFB628"/>
      </dataBar>
    </cfRule>
  </conditionalFormatting>
  <conditionalFormatting sqref="CA347:CA351">
    <cfRule type="dataBar" priority="983">
      <dataBar>
        <cfvo type="min"/>
        <cfvo type="max"/>
        <color rgb="FFFFB628"/>
      </dataBar>
    </cfRule>
  </conditionalFormatting>
  <conditionalFormatting sqref="CA357:CA360">
    <cfRule type="dataBar" priority="1049">
      <dataBar>
        <cfvo type="min"/>
        <cfvo type="max"/>
        <color rgb="FFFFB628"/>
      </dataBar>
    </cfRule>
  </conditionalFormatting>
  <conditionalFormatting sqref="CA366:CA372">
    <cfRule type="dataBar" priority="1115">
      <dataBar>
        <cfvo type="min"/>
        <cfvo type="max"/>
        <color rgb="FFFFB628"/>
      </dataBar>
    </cfRule>
  </conditionalFormatting>
  <conditionalFormatting sqref="CA378:CA382">
    <cfRule type="dataBar" priority="1181">
      <dataBar>
        <cfvo type="min"/>
        <cfvo type="max"/>
        <color rgb="FFFFB628"/>
      </dataBar>
    </cfRule>
  </conditionalFormatting>
  <conditionalFormatting sqref="CA388:CA391">
    <cfRule type="dataBar" priority="1247">
      <dataBar>
        <cfvo type="min"/>
        <cfvo type="max"/>
        <color rgb="FFFFB628"/>
      </dataBar>
    </cfRule>
  </conditionalFormatting>
  <conditionalFormatting sqref="CA397:CA403">
    <cfRule type="dataBar" priority="1313">
      <dataBar>
        <cfvo type="min"/>
        <cfvo type="max"/>
        <color rgb="FFFFB628"/>
      </dataBar>
    </cfRule>
  </conditionalFormatting>
  <conditionalFormatting sqref="CA409:CA413">
    <cfRule type="dataBar" priority="1379">
      <dataBar>
        <cfvo type="min"/>
        <cfvo type="max"/>
        <color rgb="FFFFB628"/>
      </dataBar>
    </cfRule>
  </conditionalFormatting>
  <conditionalFormatting sqref="CA419:CA422">
    <cfRule type="dataBar" priority="1445">
      <dataBar>
        <cfvo type="min"/>
        <cfvo type="max"/>
        <color rgb="FFFFB628"/>
      </dataBar>
    </cfRule>
  </conditionalFormatting>
  <conditionalFormatting sqref="CA428:CA434">
    <cfRule type="dataBar" priority="1511">
      <dataBar>
        <cfvo type="min"/>
        <cfvo type="max"/>
        <color rgb="FFFFB628"/>
      </dataBar>
    </cfRule>
  </conditionalFormatting>
  <conditionalFormatting sqref="CA440:CA444">
    <cfRule type="dataBar" priority="1577">
      <dataBar>
        <cfvo type="min"/>
        <cfvo type="max"/>
        <color rgb="FFFFB628"/>
      </dataBar>
    </cfRule>
  </conditionalFormatting>
  <conditionalFormatting sqref="CA450:CA453">
    <cfRule type="dataBar" priority="1643">
      <dataBar>
        <cfvo type="min"/>
        <cfvo type="max"/>
        <color rgb="FFFFB628"/>
      </dataBar>
    </cfRule>
  </conditionalFormatting>
  <conditionalFormatting sqref="CA459:CA465">
    <cfRule type="dataBar" priority="1709">
      <dataBar>
        <cfvo type="min"/>
        <cfvo type="max"/>
        <color rgb="FFFFB628"/>
      </dataBar>
    </cfRule>
  </conditionalFormatting>
  <conditionalFormatting sqref="CA471:CA475">
    <cfRule type="dataBar" priority="1775">
      <dataBar>
        <cfvo type="min"/>
        <cfvo type="max"/>
        <color rgb="FFFFB628"/>
      </dataBar>
    </cfRule>
  </conditionalFormatting>
  <conditionalFormatting sqref="CA481:CA483">
    <cfRule type="dataBar" priority="1841">
      <dataBar>
        <cfvo type="min"/>
        <cfvo type="max"/>
        <color rgb="FFFFB628"/>
      </dataBar>
    </cfRule>
  </conditionalFormatting>
  <conditionalFormatting sqref="CA489:CA600">
    <cfRule type="dataBar" priority="1907">
      <dataBar>
        <cfvo type="min"/>
        <cfvo type="max"/>
        <color rgb="FFFFB628"/>
      </dataBar>
    </cfRule>
  </conditionalFormatting>
  <conditionalFormatting sqref="CA606:CA613">
    <cfRule type="dataBar" priority="1973">
      <dataBar>
        <cfvo type="min"/>
        <cfvo type="max"/>
        <color rgb="FFFFB628"/>
      </dataBar>
    </cfRule>
  </conditionalFormatting>
  <conditionalFormatting sqref="CA619:CA626">
    <cfRule type="dataBar" priority="2039">
      <dataBar>
        <cfvo type="min"/>
        <cfvo type="max"/>
        <color rgb="FFFFB628"/>
      </dataBar>
    </cfRule>
  </conditionalFormatting>
  <conditionalFormatting sqref="CB6:CB8">
    <cfRule type="dataBar" priority="60">
      <dataBar>
        <cfvo type="min"/>
        <cfvo type="max"/>
        <color rgb="FFF08D5B"/>
      </dataBar>
    </cfRule>
  </conditionalFormatting>
  <conditionalFormatting sqref="CB14:CB19">
    <cfRule type="dataBar" priority="126">
      <dataBar>
        <cfvo type="min"/>
        <cfvo type="max"/>
        <color rgb="FFF08D5B"/>
      </dataBar>
    </cfRule>
  </conditionalFormatting>
  <conditionalFormatting sqref="CB25:CB75">
    <cfRule type="dataBar" priority="192">
      <dataBar>
        <cfvo type="min"/>
        <cfvo type="max"/>
        <color rgb="FFF08D5B"/>
      </dataBar>
    </cfRule>
  </conditionalFormatting>
  <conditionalFormatting sqref="CB81:CB83">
    <cfRule type="dataBar" priority="258">
      <dataBar>
        <cfvo type="min"/>
        <cfvo type="max"/>
        <color rgb="FFF08D5B"/>
      </dataBar>
    </cfRule>
  </conditionalFormatting>
  <conditionalFormatting sqref="CB89:CB92">
    <cfRule type="dataBar" priority="324">
      <dataBar>
        <cfvo type="min"/>
        <cfvo type="max"/>
        <color rgb="FFF08D5B"/>
      </dataBar>
    </cfRule>
  </conditionalFormatting>
  <conditionalFormatting sqref="CB98:CB108">
    <cfRule type="dataBar" priority="390">
      <dataBar>
        <cfvo type="min"/>
        <cfvo type="max"/>
        <color rgb="FFF08D5B"/>
      </dataBar>
    </cfRule>
  </conditionalFormatting>
  <conditionalFormatting sqref="CB114:CB120">
    <cfRule type="dataBar" priority="456">
      <dataBar>
        <cfvo type="min"/>
        <cfvo type="max"/>
        <color rgb="FFF08D5B"/>
      </dataBar>
    </cfRule>
  </conditionalFormatting>
  <conditionalFormatting sqref="CB126:CB130">
    <cfRule type="dataBar" priority="522">
      <dataBar>
        <cfvo type="min"/>
        <cfvo type="max"/>
        <color rgb="FFF08D5B"/>
      </dataBar>
    </cfRule>
  </conditionalFormatting>
  <conditionalFormatting sqref="CB136:CB142">
    <cfRule type="dataBar" priority="588">
      <dataBar>
        <cfvo type="min"/>
        <cfvo type="max"/>
        <color rgb="FFF08D5B"/>
      </dataBar>
    </cfRule>
  </conditionalFormatting>
  <conditionalFormatting sqref="CB148:CB154">
    <cfRule type="dataBar" priority="654">
      <dataBar>
        <cfvo type="min"/>
        <cfvo type="max"/>
        <color rgb="FFF08D5B"/>
      </dataBar>
    </cfRule>
  </conditionalFormatting>
  <conditionalFormatting sqref="CB160:CB237">
    <cfRule type="dataBar" priority="720">
      <dataBar>
        <cfvo type="min"/>
        <cfvo type="max"/>
        <color rgb="FFF08D5B"/>
      </dataBar>
    </cfRule>
  </conditionalFormatting>
  <conditionalFormatting sqref="CB243:CB320">
    <cfRule type="dataBar" priority="786">
      <dataBar>
        <cfvo type="min"/>
        <cfvo type="max"/>
        <color rgb="FFF08D5B"/>
      </dataBar>
    </cfRule>
  </conditionalFormatting>
  <conditionalFormatting sqref="CB326:CB329">
    <cfRule type="dataBar" priority="852">
      <dataBar>
        <cfvo type="min"/>
        <cfvo type="max"/>
        <color rgb="FFF08D5B"/>
      </dataBar>
    </cfRule>
  </conditionalFormatting>
  <conditionalFormatting sqref="CB335:CB341">
    <cfRule type="dataBar" priority="918">
      <dataBar>
        <cfvo type="min"/>
        <cfvo type="max"/>
        <color rgb="FFF08D5B"/>
      </dataBar>
    </cfRule>
  </conditionalFormatting>
  <conditionalFormatting sqref="CB347:CB351">
    <cfRule type="dataBar" priority="984">
      <dataBar>
        <cfvo type="min"/>
        <cfvo type="max"/>
        <color rgb="FFF08D5B"/>
      </dataBar>
    </cfRule>
  </conditionalFormatting>
  <conditionalFormatting sqref="CB357:CB360">
    <cfRule type="dataBar" priority="1050">
      <dataBar>
        <cfvo type="min"/>
        <cfvo type="max"/>
        <color rgb="FFF08D5B"/>
      </dataBar>
    </cfRule>
  </conditionalFormatting>
  <conditionalFormatting sqref="CB366:CB372">
    <cfRule type="dataBar" priority="1116">
      <dataBar>
        <cfvo type="min"/>
        <cfvo type="max"/>
        <color rgb="FFF08D5B"/>
      </dataBar>
    </cfRule>
  </conditionalFormatting>
  <conditionalFormatting sqref="CB378:CB382">
    <cfRule type="dataBar" priority="1182">
      <dataBar>
        <cfvo type="min"/>
        <cfvo type="max"/>
        <color rgb="FFF08D5B"/>
      </dataBar>
    </cfRule>
  </conditionalFormatting>
  <conditionalFormatting sqref="CB388:CB391">
    <cfRule type="dataBar" priority="1248">
      <dataBar>
        <cfvo type="min"/>
        <cfvo type="max"/>
        <color rgb="FFF08D5B"/>
      </dataBar>
    </cfRule>
  </conditionalFormatting>
  <conditionalFormatting sqref="CB397:CB403">
    <cfRule type="dataBar" priority="1314">
      <dataBar>
        <cfvo type="min"/>
        <cfvo type="max"/>
        <color rgb="FFF08D5B"/>
      </dataBar>
    </cfRule>
  </conditionalFormatting>
  <conditionalFormatting sqref="CB409:CB413">
    <cfRule type="dataBar" priority="1380">
      <dataBar>
        <cfvo type="min"/>
        <cfvo type="max"/>
        <color rgb="FFF08D5B"/>
      </dataBar>
    </cfRule>
  </conditionalFormatting>
  <conditionalFormatting sqref="CB419:CB422">
    <cfRule type="dataBar" priority="1446">
      <dataBar>
        <cfvo type="min"/>
        <cfvo type="max"/>
        <color rgb="FFF08D5B"/>
      </dataBar>
    </cfRule>
  </conditionalFormatting>
  <conditionalFormatting sqref="CB428:CB434">
    <cfRule type="dataBar" priority="1512">
      <dataBar>
        <cfvo type="min"/>
        <cfvo type="max"/>
        <color rgb="FFF08D5B"/>
      </dataBar>
    </cfRule>
  </conditionalFormatting>
  <conditionalFormatting sqref="CB440:CB444">
    <cfRule type="dataBar" priority="1578">
      <dataBar>
        <cfvo type="min"/>
        <cfvo type="max"/>
        <color rgb="FFF08D5B"/>
      </dataBar>
    </cfRule>
  </conditionalFormatting>
  <conditionalFormatting sqref="CB450:CB453">
    <cfRule type="dataBar" priority="1644">
      <dataBar>
        <cfvo type="min"/>
        <cfvo type="max"/>
        <color rgb="FFF08D5B"/>
      </dataBar>
    </cfRule>
  </conditionalFormatting>
  <conditionalFormatting sqref="CB459:CB465">
    <cfRule type="dataBar" priority="1710">
      <dataBar>
        <cfvo type="min"/>
        <cfvo type="max"/>
        <color rgb="FFF08D5B"/>
      </dataBar>
    </cfRule>
  </conditionalFormatting>
  <conditionalFormatting sqref="CB471:CB475">
    <cfRule type="dataBar" priority="1776">
      <dataBar>
        <cfvo type="min"/>
        <cfvo type="max"/>
        <color rgb="FFF08D5B"/>
      </dataBar>
    </cfRule>
  </conditionalFormatting>
  <conditionalFormatting sqref="CB481:CB483">
    <cfRule type="dataBar" priority="1842">
      <dataBar>
        <cfvo type="min"/>
        <cfvo type="max"/>
        <color rgb="FFF08D5B"/>
      </dataBar>
    </cfRule>
  </conditionalFormatting>
  <conditionalFormatting sqref="CB489:CB600">
    <cfRule type="dataBar" priority="1908">
      <dataBar>
        <cfvo type="min"/>
        <cfvo type="max"/>
        <color rgb="FFF08D5B"/>
      </dataBar>
    </cfRule>
  </conditionalFormatting>
  <conditionalFormatting sqref="CB606:CB613">
    <cfRule type="dataBar" priority="1974">
      <dataBar>
        <cfvo type="min"/>
        <cfvo type="max"/>
        <color rgb="FFF08D5B"/>
      </dataBar>
    </cfRule>
  </conditionalFormatting>
  <conditionalFormatting sqref="CB619:CB626">
    <cfRule type="dataBar" priority="2040">
      <dataBar>
        <cfvo type="min"/>
        <cfvo type="max"/>
        <color rgb="FFF08D5B"/>
      </dataBar>
    </cfRule>
  </conditionalFormatting>
  <conditionalFormatting sqref="CD6:CD8">
    <cfRule type="dataBar" priority="61">
      <dataBar>
        <cfvo type="min"/>
        <cfvo type="max"/>
        <color rgb="FF628DC4"/>
      </dataBar>
    </cfRule>
  </conditionalFormatting>
  <conditionalFormatting sqref="CD14:CD19">
    <cfRule type="dataBar" priority="127">
      <dataBar>
        <cfvo type="min"/>
        <cfvo type="max"/>
        <color rgb="FF628DC4"/>
      </dataBar>
    </cfRule>
  </conditionalFormatting>
  <conditionalFormatting sqref="CD25:CD75">
    <cfRule type="dataBar" priority="193">
      <dataBar>
        <cfvo type="min"/>
        <cfvo type="max"/>
        <color rgb="FF628DC4"/>
      </dataBar>
    </cfRule>
  </conditionalFormatting>
  <conditionalFormatting sqref="CD81:CD83">
    <cfRule type="dataBar" priority="259">
      <dataBar>
        <cfvo type="min"/>
        <cfvo type="max"/>
        <color rgb="FF628DC4"/>
      </dataBar>
    </cfRule>
  </conditionalFormatting>
  <conditionalFormatting sqref="CD89:CD92">
    <cfRule type="dataBar" priority="325">
      <dataBar>
        <cfvo type="min"/>
        <cfvo type="max"/>
        <color rgb="FF628DC4"/>
      </dataBar>
    </cfRule>
  </conditionalFormatting>
  <conditionalFormatting sqref="CD98:CD108">
    <cfRule type="dataBar" priority="391">
      <dataBar>
        <cfvo type="min"/>
        <cfvo type="max"/>
        <color rgb="FF628DC4"/>
      </dataBar>
    </cfRule>
  </conditionalFormatting>
  <conditionalFormatting sqref="CD114:CD120">
    <cfRule type="dataBar" priority="457">
      <dataBar>
        <cfvo type="min"/>
        <cfvo type="max"/>
        <color rgb="FF628DC4"/>
      </dataBar>
    </cfRule>
  </conditionalFormatting>
  <conditionalFormatting sqref="CD126:CD130">
    <cfRule type="dataBar" priority="523">
      <dataBar>
        <cfvo type="min"/>
        <cfvo type="max"/>
        <color rgb="FF628DC4"/>
      </dataBar>
    </cfRule>
  </conditionalFormatting>
  <conditionalFormatting sqref="CD136:CD142">
    <cfRule type="dataBar" priority="589">
      <dataBar>
        <cfvo type="min"/>
        <cfvo type="max"/>
        <color rgb="FF628DC4"/>
      </dataBar>
    </cfRule>
  </conditionalFormatting>
  <conditionalFormatting sqref="CD148:CD154">
    <cfRule type="dataBar" priority="655">
      <dataBar>
        <cfvo type="min"/>
        <cfvo type="max"/>
        <color rgb="FF628DC4"/>
      </dataBar>
    </cfRule>
  </conditionalFormatting>
  <conditionalFormatting sqref="CD160:CD237">
    <cfRule type="dataBar" priority="721">
      <dataBar>
        <cfvo type="min"/>
        <cfvo type="max"/>
        <color rgb="FF628DC4"/>
      </dataBar>
    </cfRule>
  </conditionalFormatting>
  <conditionalFormatting sqref="CD243:CD320">
    <cfRule type="dataBar" priority="787">
      <dataBar>
        <cfvo type="min"/>
        <cfvo type="max"/>
        <color rgb="FF628DC4"/>
      </dataBar>
    </cfRule>
  </conditionalFormatting>
  <conditionalFormatting sqref="CD326:CD329">
    <cfRule type="dataBar" priority="853">
      <dataBar>
        <cfvo type="min"/>
        <cfvo type="max"/>
        <color rgb="FF628DC4"/>
      </dataBar>
    </cfRule>
  </conditionalFormatting>
  <conditionalFormatting sqref="CD335:CD341">
    <cfRule type="dataBar" priority="919">
      <dataBar>
        <cfvo type="min"/>
        <cfvo type="max"/>
        <color rgb="FF628DC4"/>
      </dataBar>
    </cfRule>
  </conditionalFormatting>
  <conditionalFormatting sqref="CD347:CD351">
    <cfRule type="dataBar" priority="985">
      <dataBar>
        <cfvo type="min"/>
        <cfvo type="max"/>
        <color rgb="FF628DC4"/>
      </dataBar>
    </cfRule>
  </conditionalFormatting>
  <conditionalFormatting sqref="CD357:CD360">
    <cfRule type="dataBar" priority="1051">
      <dataBar>
        <cfvo type="min"/>
        <cfvo type="max"/>
        <color rgb="FF628DC4"/>
      </dataBar>
    </cfRule>
  </conditionalFormatting>
  <conditionalFormatting sqref="CD366:CD372">
    <cfRule type="dataBar" priority="1117">
      <dataBar>
        <cfvo type="min"/>
        <cfvo type="max"/>
        <color rgb="FF628DC4"/>
      </dataBar>
    </cfRule>
  </conditionalFormatting>
  <conditionalFormatting sqref="CD378:CD382">
    <cfRule type="dataBar" priority="1183">
      <dataBar>
        <cfvo type="min"/>
        <cfvo type="max"/>
        <color rgb="FF628DC4"/>
      </dataBar>
    </cfRule>
  </conditionalFormatting>
  <conditionalFormatting sqref="CD388:CD391">
    <cfRule type="dataBar" priority="1249">
      <dataBar>
        <cfvo type="min"/>
        <cfvo type="max"/>
        <color rgb="FF628DC4"/>
      </dataBar>
    </cfRule>
  </conditionalFormatting>
  <conditionalFormatting sqref="CD397:CD403">
    <cfRule type="dataBar" priority="1315">
      <dataBar>
        <cfvo type="min"/>
        <cfvo type="max"/>
        <color rgb="FF628DC4"/>
      </dataBar>
    </cfRule>
  </conditionalFormatting>
  <conditionalFormatting sqref="CD409:CD413">
    <cfRule type="dataBar" priority="1381">
      <dataBar>
        <cfvo type="min"/>
        <cfvo type="max"/>
        <color rgb="FF628DC4"/>
      </dataBar>
    </cfRule>
  </conditionalFormatting>
  <conditionalFormatting sqref="CD419:CD422">
    <cfRule type="dataBar" priority="1447">
      <dataBar>
        <cfvo type="min"/>
        <cfvo type="max"/>
        <color rgb="FF628DC4"/>
      </dataBar>
    </cfRule>
  </conditionalFormatting>
  <conditionalFormatting sqref="CD428:CD434">
    <cfRule type="dataBar" priority="1513">
      <dataBar>
        <cfvo type="min"/>
        <cfvo type="max"/>
        <color rgb="FF628DC4"/>
      </dataBar>
    </cfRule>
  </conditionalFormatting>
  <conditionalFormatting sqref="CD440:CD444">
    <cfRule type="dataBar" priority="1579">
      <dataBar>
        <cfvo type="min"/>
        <cfvo type="max"/>
        <color rgb="FF628DC4"/>
      </dataBar>
    </cfRule>
  </conditionalFormatting>
  <conditionalFormatting sqref="CD450:CD453">
    <cfRule type="dataBar" priority="1645">
      <dataBar>
        <cfvo type="min"/>
        <cfvo type="max"/>
        <color rgb="FF628DC4"/>
      </dataBar>
    </cfRule>
  </conditionalFormatting>
  <conditionalFormatting sqref="CD459:CD465">
    <cfRule type="dataBar" priority="1711">
      <dataBar>
        <cfvo type="min"/>
        <cfvo type="max"/>
        <color rgb="FF628DC4"/>
      </dataBar>
    </cfRule>
  </conditionalFormatting>
  <conditionalFormatting sqref="CD471:CD475">
    <cfRule type="dataBar" priority="1777">
      <dataBar>
        <cfvo type="min"/>
        <cfvo type="max"/>
        <color rgb="FF628DC4"/>
      </dataBar>
    </cfRule>
  </conditionalFormatting>
  <conditionalFormatting sqref="CD481:CD483">
    <cfRule type="dataBar" priority="1843">
      <dataBar>
        <cfvo type="min"/>
        <cfvo type="max"/>
        <color rgb="FF628DC4"/>
      </dataBar>
    </cfRule>
  </conditionalFormatting>
  <conditionalFormatting sqref="CD489:CD600">
    <cfRule type="dataBar" priority="1909">
      <dataBar>
        <cfvo type="min"/>
        <cfvo type="max"/>
        <color rgb="FF628DC4"/>
      </dataBar>
    </cfRule>
  </conditionalFormatting>
  <conditionalFormatting sqref="CD606:CD613">
    <cfRule type="dataBar" priority="1975">
      <dataBar>
        <cfvo type="min"/>
        <cfvo type="max"/>
        <color rgb="FF628DC4"/>
      </dataBar>
    </cfRule>
  </conditionalFormatting>
  <conditionalFormatting sqref="CD619:CD626">
    <cfRule type="dataBar" priority="2041">
      <dataBar>
        <cfvo type="min"/>
        <cfvo type="max"/>
        <color rgb="FF628DC4"/>
      </dataBar>
    </cfRule>
  </conditionalFormatting>
  <conditionalFormatting sqref="CE6:CE8">
    <cfRule type="dataBar" priority="62">
      <dataBar>
        <cfvo type="min"/>
        <cfvo type="max"/>
        <color rgb="FFFFB628"/>
      </dataBar>
    </cfRule>
  </conditionalFormatting>
  <conditionalFormatting sqref="CE14:CE19">
    <cfRule type="dataBar" priority="128">
      <dataBar>
        <cfvo type="min"/>
        <cfvo type="max"/>
        <color rgb="FFFFB628"/>
      </dataBar>
    </cfRule>
  </conditionalFormatting>
  <conditionalFormatting sqref="CE25:CE75">
    <cfRule type="dataBar" priority="194">
      <dataBar>
        <cfvo type="min"/>
        <cfvo type="max"/>
        <color rgb="FFFFB628"/>
      </dataBar>
    </cfRule>
  </conditionalFormatting>
  <conditionalFormatting sqref="CE81:CE83">
    <cfRule type="dataBar" priority="260">
      <dataBar>
        <cfvo type="min"/>
        <cfvo type="max"/>
        <color rgb="FFFFB628"/>
      </dataBar>
    </cfRule>
  </conditionalFormatting>
  <conditionalFormatting sqref="CE89:CE92">
    <cfRule type="dataBar" priority="326">
      <dataBar>
        <cfvo type="min"/>
        <cfvo type="max"/>
        <color rgb="FFFFB628"/>
      </dataBar>
    </cfRule>
  </conditionalFormatting>
  <conditionalFormatting sqref="CE98:CE108">
    <cfRule type="dataBar" priority="392">
      <dataBar>
        <cfvo type="min"/>
        <cfvo type="max"/>
        <color rgb="FFFFB628"/>
      </dataBar>
    </cfRule>
  </conditionalFormatting>
  <conditionalFormatting sqref="CE114:CE120">
    <cfRule type="dataBar" priority="458">
      <dataBar>
        <cfvo type="min"/>
        <cfvo type="max"/>
        <color rgb="FFFFB628"/>
      </dataBar>
    </cfRule>
  </conditionalFormatting>
  <conditionalFormatting sqref="CE126:CE130">
    <cfRule type="dataBar" priority="524">
      <dataBar>
        <cfvo type="min"/>
        <cfvo type="max"/>
        <color rgb="FFFFB628"/>
      </dataBar>
    </cfRule>
  </conditionalFormatting>
  <conditionalFormatting sqref="CE136:CE142">
    <cfRule type="dataBar" priority="590">
      <dataBar>
        <cfvo type="min"/>
        <cfvo type="max"/>
        <color rgb="FFFFB628"/>
      </dataBar>
    </cfRule>
  </conditionalFormatting>
  <conditionalFormatting sqref="CE148:CE154">
    <cfRule type="dataBar" priority="656">
      <dataBar>
        <cfvo type="min"/>
        <cfvo type="max"/>
        <color rgb="FFFFB628"/>
      </dataBar>
    </cfRule>
  </conditionalFormatting>
  <conditionalFormatting sqref="CE160:CE237">
    <cfRule type="dataBar" priority="722">
      <dataBar>
        <cfvo type="min"/>
        <cfvo type="max"/>
        <color rgb="FFFFB628"/>
      </dataBar>
    </cfRule>
  </conditionalFormatting>
  <conditionalFormatting sqref="CE243:CE320">
    <cfRule type="dataBar" priority="788">
      <dataBar>
        <cfvo type="min"/>
        <cfvo type="max"/>
        <color rgb="FFFFB628"/>
      </dataBar>
    </cfRule>
  </conditionalFormatting>
  <conditionalFormatting sqref="CE326:CE329">
    <cfRule type="dataBar" priority="854">
      <dataBar>
        <cfvo type="min"/>
        <cfvo type="max"/>
        <color rgb="FFFFB628"/>
      </dataBar>
    </cfRule>
  </conditionalFormatting>
  <conditionalFormatting sqref="CE335:CE341">
    <cfRule type="dataBar" priority="920">
      <dataBar>
        <cfvo type="min"/>
        <cfvo type="max"/>
        <color rgb="FFFFB628"/>
      </dataBar>
    </cfRule>
  </conditionalFormatting>
  <conditionalFormatting sqref="CE347:CE351">
    <cfRule type="dataBar" priority="986">
      <dataBar>
        <cfvo type="min"/>
        <cfvo type="max"/>
        <color rgb="FFFFB628"/>
      </dataBar>
    </cfRule>
  </conditionalFormatting>
  <conditionalFormatting sqref="CE357:CE360">
    <cfRule type="dataBar" priority="1052">
      <dataBar>
        <cfvo type="min"/>
        <cfvo type="max"/>
        <color rgb="FFFFB628"/>
      </dataBar>
    </cfRule>
  </conditionalFormatting>
  <conditionalFormatting sqref="CE366:CE372">
    <cfRule type="dataBar" priority="1118">
      <dataBar>
        <cfvo type="min"/>
        <cfvo type="max"/>
        <color rgb="FFFFB628"/>
      </dataBar>
    </cfRule>
  </conditionalFormatting>
  <conditionalFormatting sqref="CE378:CE382">
    <cfRule type="dataBar" priority="1184">
      <dataBar>
        <cfvo type="min"/>
        <cfvo type="max"/>
        <color rgb="FFFFB628"/>
      </dataBar>
    </cfRule>
  </conditionalFormatting>
  <conditionalFormatting sqref="CE388:CE391">
    <cfRule type="dataBar" priority="1250">
      <dataBar>
        <cfvo type="min"/>
        <cfvo type="max"/>
        <color rgb="FFFFB628"/>
      </dataBar>
    </cfRule>
  </conditionalFormatting>
  <conditionalFormatting sqref="CE397:CE403">
    <cfRule type="dataBar" priority="1316">
      <dataBar>
        <cfvo type="min"/>
        <cfvo type="max"/>
        <color rgb="FFFFB628"/>
      </dataBar>
    </cfRule>
  </conditionalFormatting>
  <conditionalFormatting sqref="CE409:CE413">
    <cfRule type="dataBar" priority="1382">
      <dataBar>
        <cfvo type="min"/>
        <cfvo type="max"/>
        <color rgb="FFFFB628"/>
      </dataBar>
    </cfRule>
  </conditionalFormatting>
  <conditionalFormatting sqref="CE419:CE422">
    <cfRule type="dataBar" priority="1448">
      <dataBar>
        <cfvo type="min"/>
        <cfvo type="max"/>
        <color rgb="FFFFB628"/>
      </dataBar>
    </cfRule>
  </conditionalFormatting>
  <conditionalFormatting sqref="CE428:CE434">
    <cfRule type="dataBar" priority="1514">
      <dataBar>
        <cfvo type="min"/>
        <cfvo type="max"/>
        <color rgb="FFFFB628"/>
      </dataBar>
    </cfRule>
  </conditionalFormatting>
  <conditionalFormatting sqref="CE440:CE444">
    <cfRule type="dataBar" priority="1580">
      <dataBar>
        <cfvo type="min"/>
        <cfvo type="max"/>
        <color rgb="FFFFB628"/>
      </dataBar>
    </cfRule>
  </conditionalFormatting>
  <conditionalFormatting sqref="CE450:CE453">
    <cfRule type="dataBar" priority="1646">
      <dataBar>
        <cfvo type="min"/>
        <cfvo type="max"/>
        <color rgb="FFFFB628"/>
      </dataBar>
    </cfRule>
  </conditionalFormatting>
  <conditionalFormatting sqref="CE459:CE465">
    <cfRule type="dataBar" priority="1712">
      <dataBar>
        <cfvo type="min"/>
        <cfvo type="max"/>
        <color rgb="FFFFB628"/>
      </dataBar>
    </cfRule>
  </conditionalFormatting>
  <conditionalFormatting sqref="CE471:CE475">
    <cfRule type="dataBar" priority="1778">
      <dataBar>
        <cfvo type="min"/>
        <cfvo type="max"/>
        <color rgb="FFFFB628"/>
      </dataBar>
    </cfRule>
  </conditionalFormatting>
  <conditionalFormatting sqref="CE481:CE483">
    <cfRule type="dataBar" priority="1844">
      <dataBar>
        <cfvo type="min"/>
        <cfvo type="max"/>
        <color rgb="FFFFB628"/>
      </dataBar>
    </cfRule>
  </conditionalFormatting>
  <conditionalFormatting sqref="CE489:CE600">
    <cfRule type="dataBar" priority="1910">
      <dataBar>
        <cfvo type="min"/>
        <cfvo type="max"/>
        <color rgb="FFFFB628"/>
      </dataBar>
    </cfRule>
  </conditionalFormatting>
  <conditionalFormatting sqref="CE606:CE613">
    <cfRule type="dataBar" priority="1976">
      <dataBar>
        <cfvo type="min"/>
        <cfvo type="max"/>
        <color rgb="FFFFB628"/>
      </dataBar>
    </cfRule>
  </conditionalFormatting>
  <conditionalFormatting sqref="CE619:CE626">
    <cfRule type="dataBar" priority="2042">
      <dataBar>
        <cfvo type="min"/>
        <cfvo type="max"/>
        <color rgb="FFFFB628"/>
      </dataBar>
    </cfRule>
  </conditionalFormatting>
  <conditionalFormatting sqref="CF6:CF8">
    <cfRule type="dataBar" priority="63">
      <dataBar>
        <cfvo type="min"/>
        <cfvo type="max"/>
        <color rgb="FFF08D5B"/>
      </dataBar>
    </cfRule>
  </conditionalFormatting>
  <conditionalFormatting sqref="CF14:CF19">
    <cfRule type="dataBar" priority="129">
      <dataBar>
        <cfvo type="min"/>
        <cfvo type="max"/>
        <color rgb="FFF08D5B"/>
      </dataBar>
    </cfRule>
  </conditionalFormatting>
  <conditionalFormatting sqref="CF25:CF75">
    <cfRule type="dataBar" priority="195">
      <dataBar>
        <cfvo type="min"/>
        <cfvo type="max"/>
        <color rgb="FFF08D5B"/>
      </dataBar>
    </cfRule>
  </conditionalFormatting>
  <conditionalFormatting sqref="CF81:CF83">
    <cfRule type="dataBar" priority="261">
      <dataBar>
        <cfvo type="min"/>
        <cfvo type="max"/>
        <color rgb="FFF08D5B"/>
      </dataBar>
    </cfRule>
  </conditionalFormatting>
  <conditionalFormatting sqref="CF89:CF92">
    <cfRule type="dataBar" priority="327">
      <dataBar>
        <cfvo type="min"/>
        <cfvo type="max"/>
        <color rgb="FFF08D5B"/>
      </dataBar>
    </cfRule>
  </conditionalFormatting>
  <conditionalFormatting sqref="CF98:CF108">
    <cfRule type="dataBar" priority="393">
      <dataBar>
        <cfvo type="min"/>
        <cfvo type="max"/>
        <color rgb="FFF08D5B"/>
      </dataBar>
    </cfRule>
  </conditionalFormatting>
  <conditionalFormatting sqref="CF114:CF120">
    <cfRule type="dataBar" priority="459">
      <dataBar>
        <cfvo type="min"/>
        <cfvo type="max"/>
        <color rgb="FFF08D5B"/>
      </dataBar>
    </cfRule>
  </conditionalFormatting>
  <conditionalFormatting sqref="CF126:CF130">
    <cfRule type="dataBar" priority="525">
      <dataBar>
        <cfvo type="min"/>
        <cfvo type="max"/>
        <color rgb="FFF08D5B"/>
      </dataBar>
    </cfRule>
  </conditionalFormatting>
  <conditionalFormatting sqref="CF136:CF142">
    <cfRule type="dataBar" priority="591">
      <dataBar>
        <cfvo type="min"/>
        <cfvo type="max"/>
        <color rgb="FFF08D5B"/>
      </dataBar>
    </cfRule>
  </conditionalFormatting>
  <conditionalFormatting sqref="CF148:CF154">
    <cfRule type="dataBar" priority="657">
      <dataBar>
        <cfvo type="min"/>
        <cfvo type="max"/>
        <color rgb="FFF08D5B"/>
      </dataBar>
    </cfRule>
  </conditionalFormatting>
  <conditionalFormatting sqref="CF160:CF237">
    <cfRule type="dataBar" priority="723">
      <dataBar>
        <cfvo type="min"/>
        <cfvo type="max"/>
        <color rgb="FFF08D5B"/>
      </dataBar>
    </cfRule>
  </conditionalFormatting>
  <conditionalFormatting sqref="CF243:CF320">
    <cfRule type="dataBar" priority="789">
      <dataBar>
        <cfvo type="min"/>
        <cfvo type="max"/>
        <color rgb="FFF08D5B"/>
      </dataBar>
    </cfRule>
  </conditionalFormatting>
  <conditionalFormatting sqref="CF326:CF329">
    <cfRule type="dataBar" priority="855">
      <dataBar>
        <cfvo type="min"/>
        <cfvo type="max"/>
        <color rgb="FFF08D5B"/>
      </dataBar>
    </cfRule>
  </conditionalFormatting>
  <conditionalFormatting sqref="CF335:CF341">
    <cfRule type="dataBar" priority="921">
      <dataBar>
        <cfvo type="min"/>
        <cfvo type="max"/>
        <color rgb="FFF08D5B"/>
      </dataBar>
    </cfRule>
  </conditionalFormatting>
  <conditionalFormatting sqref="CF347:CF351">
    <cfRule type="dataBar" priority="987">
      <dataBar>
        <cfvo type="min"/>
        <cfvo type="max"/>
        <color rgb="FFF08D5B"/>
      </dataBar>
    </cfRule>
  </conditionalFormatting>
  <conditionalFormatting sqref="CF357:CF360">
    <cfRule type="dataBar" priority="1053">
      <dataBar>
        <cfvo type="min"/>
        <cfvo type="max"/>
        <color rgb="FFF08D5B"/>
      </dataBar>
    </cfRule>
  </conditionalFormatting>
  <conditionalFormatting sqref="CF366:CF372">
    <cfRule type="dataBar" priority="1119">
      <dataBar>
        <cfvo type="min"/>
        <cfvo type="max"/>
        <color rgb="FFF08D5B"/>
      </dataBar>
    </cfRule>
  </conditionalFormatting>
  <conditionalFormatting sqref="CF378:CF382">
    <cfRule type="dataBar" priority="1185">
      <dataBar>
        <cfvo type="min"/>
        <cfvo type="max"/>
        <color rgb="FFF08D5B"/>
      </dataBar>
    </cfRule>
  </conditionalFormatting>
  <conditionalFormatting sqref="CF388:CF391">
    <cfRule type="dataBar" priority="1251">
      <dataBar>
        <cfvo type="min"/>
        <cfvo type="max"/>
        <color rgb="FFF08D5B"/>
      </dataBar>
    </cfRule>
  </conditionalFormatting>
  <conditionalFormatting sqref="CF397:CF403">
    <cfRule type="dataBar" priority="1317">
      <dataBar>
        <cfvo type="min"/>
        <cfvo type="max"/>
        <color rgb="FFF08D5B"/>
      </dataBar>
    </cfRule>
  </conditionalFormatting>
  <conditionalFormatting sqref="CF409:CF413">
    <cfRule type="dataBar" priority="1383">
      <dataBar>
        <cfvo type="min"/>
        <cfvo type="max"/>
        <color rgb="FFF08D5B"/>
      </dataBar>
    </cfRule>
  </conditionalFormatting>
  <conditionalFormatting sqref="CF419:CF422">
    <cfRule type="dataBar" priority="1449">
      <dataBar>
        <cfvo type="min"/>
        <cfvo type="max"/>
        <color rgb="FFF08D5B"/>
      </dataBar>
    </cfRule>
  </conditionalFormatting>
  <conditionalFormatting sqref="CF428:CF434">
    <cfRule type="dataBar" priority="1515">
      <dataBar>
        <cfvo type="min"/>
        <cfvo type="max"/>
        <color rgb="FFF08D5B"/>
      </dataBar>
    </cfRule>
  </conditionalFormatting>
  <conditionalFormatting sqref="CF440:CF444">
    <cfRule type="dataBar" priority="1581">
      <dataBar>
        <cfvo type="min"/>
        <cfvo type="max"/>
        <color rgb="FFF08D5B"/>
      </dataBar>
    </cfRule>
  </conditionalFormatting>
  <conditionalFormatting sqref="CF450:CF453">
    <cfRule type="dataBar" priority="1647">
      <dataBar>
        <cfvo type="min"/>
        <cfvo type="max"/>
        <color rgb="FFF08D5B"/>
      </dataBar>
    </cfRule>
  </conditionalFormatting>
  <conditionalFormatting sqref="CF459:CF465">
    <cfRule type="dataBar" priority="1713">
      <dataBar>
        <cfvo type="min"/>
        <cfvo type="max"/>
        <color rgb="FFF08D5B"/>
      </dataBar>
    </cfRule>
  </conditionalFormatting>
  <conditionalFormatting sqref="CF471:CF475">
    <cfRule type="dataBar" priority="1779">
      <dataBar>
        <cfvo type="min"/>
        <cfvo type="max"/>
        <color rgb="FFF08D5B"/>
      </dataBar>
    </cfRule>
  </conditionalFormatting>
  <conditionalFormatting sqref="CF481:CF483">
    <cfRule type="dataBar" priority="1845">
      <dataBar>
        <cfvo type="min"/>
        <cfvo type="max"/>
        <color rgb="FFF08D5B"/>
      </dataBar>
    </cfRule>
  </conditionalFormatting>
  <conditionalFormatting sqref="CF489:CF600">
    <cfRule type="dataBar" priority="1911">
      <dataBar>
        <cfvo type="min"/>
        <cfvo type="max"/>
        <color rgb="FFF08D5B"/>
      </dataBar>
    </cfRule>
  </conditionalFormatting>
  <conditionalFormatting sqref="CF606:CF613">
    <cfRule type="dataBar" priority="1977">
      <dataBar>
        <cfvo type="min"/>
        <cfvo type="max"/>
        <color rgb="FFF08D5B"/>
      </dataBar>
    </cfRule>
  </conditionalFormatting>
  <conditionalFormatting sqref="CF619:CF626">
    <cfRule type="dataBar" priority="2043">
      <dataBar>
        <cfvo type="min"/>
        <cfvo type="max"/>
        <color rgb="FFF08D5B"/>
      </dataBar>
    </cfRule>
  </conditionalFormatting>
  <conditionalFormatting sqref="CH6:CH8">
    <cfRule type="dataBar" priority="64">
      <dataBar>
        <cfvo type="min"/>
        <cfvo type="max"/>
        <color rgb="FF628DC4"/>
      </dataBar>
    </cfRule>
  </conditionalFormatting>
  <conditionalFormatting sqref="CH14:CH19">
    <cfRule type="dataBar" priority="130">
      <dataBar>
        <cfvo type="min"/>
        <cfvo type="max"/>
        <color rgb="FF628DC4"/>
      </dataBar>
    </cfRule>
  </conditionalFormatting>
  <conditionalFormatting sqref="CH25:CH75">
    <cfRule type="dataBar" priority="196">
      <dataBar>
        <cfvo type="min"/>
        <cfvo type="max"/>
        <color rgb="FF628DC4"/>
      </dataBar>
    </cfRule>
  </conditionalFormatting>
  <conditionalFormatting sqref="CH81:CH83">
    <cfRule type="dataBar" priority="262">
      <dataBar>
        <cfvo type="min"/>
        <cfvo type="max"/>
        <color rgb="FF628DC4"/>
      </dataBar>
    </cfRule>
  </conditionalFormatting>
  <conditionalFormatting sqref="CH89:CH92">
    <cfRule type="dataBar" priority="328">
      <dataBar>
        <cfvo type="min"/>
        <cfvo type="max"/>
        <color rgb="FF628DC4"/>
      </dataBar>
    </cfRule>
  </conditionalFormatting>
  <conditionalFormatting sqref="CH98:CH108">
    <cfRule type="dataBar" priority="394">
      <dataBar>
        <cfvo type="min"/>
        <cfvo type="max"/>
        <color rgb="FF628DC4"/>
      </dataBar>
    </cfRule>
  </conditionalFormatting>
  <conditionalFormatting sqref="CH114:CH120">
    <cfRule type="dataBar" priority="460">
      <dataBar>
        <cfvo type="min"/>
        <cfvo type="max"/>
        <color rgb="FF628DC4"/>
      </dataBar>
    </cfRule>
  </conditionalFormatting>
  <conditionalFormatting sqref="CH126:CH130">
    <cfRule type="dataBar" priority="526">
      <dataBar>
        <cfvo type="min"/>
        <cfvo type="max"/>
        <color rgb="FF628DC4"/>
      </dataBar>
    </cfRule>
  </conditionalFormatting>
  <conditionalFormatting sqref="CH136:CH142">
    <cfRule type="dataBar" priority="592">
      <dataBar>
        <cfvo type="min"/>
        <cfvo type="max"/>
        <color rgb="FF628DC4"/>
      </dataBar>
    </cfRule>
  </conditionalFormatting>
  <conditionalFormatting sqref="CH148:CH154">
    <cfRule type="dataBar" priority="658">
      <dataBar>
        <cfvo type="min"/>
        <cfvo type="max"/>
        <color rgb="FF628DC4"/>
      </dataBar>
    </cfRule>
  </conditionalFormatting>
  <conditionalFormatting sqref="CH160:CH237">
    <cfRule type="dataBar" priority="724">
      <dataBar>
        <cfvo type="min"/>
        <cfvo type="max"/>
        <color rgb="FF628DC4"/>
      </dataBar>
    </cfRule>
  </conditionalFormatting>
  <conditionalFormatting sqref="CH243:CH320">
    <cfRule type="dataBar" priority="790">
      <dataBar>
        <cfvo type="min"/>
        <cfvo type="max"/>
        <color rgb="FF628DC4"/>
      </dataBar>
    </cfRule>
  </conditionalFormatting>
  <conditionalFormatting sqref="CH326:CH329">
    <cfRule type="dataBar" priority="856">
      <dataBar>
        <cfvo type="min"/>
        <cfvo type="max"/>
        <color rgb="FF628DC4"/>
      </dataBar>
    </cfRule>
  </conditionalFormatting>
  <conditionalFormatting sqref="CH335:CH341">
    <cfRule type="dataBar" priority="922">
      <dataBar>
        <cfvo type="min"/>
        <cfvo type="max"/>
        <color rgb="FF628DC4"/>
      </dataBar>
    </cfRule>
  </conditionalFormatting>
  <conditionalFormatting sqref="CH347:CH351">
    <cfRule type="dataBar" priority="988">
      <dataBar>
        <cfvo type="min"/>
        <cfvo type="max"/>
        <color rgb="FF628DC4"/>
      </dataBar>
    </cfRule>
  </conditionalFormatting>
  <conditionalFormatting sqref="CH357:CH360">
    <cfRule type="dataBar" priority="1054">
      <dataBar>
        <cfvo type="min"/>
        <cfvo type="max"/>
        <color rgb="FF628DC4"/>
      </dataBar>
    </cfRule>
  </conditionalFormatting>
  <conditionalFormatting sqref="CH366:CH372">
    <cfRule type="dataBar" priority="1120">
      <dataBar>
        <cfvo type="min"/>
        <cfvo type="max"/>
        <color rgb="FF628DC4"/>
      </dataBar>
    </cfRule>
  </conditionalFormatting>
  <conditionalFormatting sqref="CH378:CH382">
    <cfRule type="dataBar" priority="1186">
      <dataBar>
        <cfvo type="min"/>
        <cfvo type="max"/>
        <color rgb="FF628DC4"/>
      </dataBar>
    </cfRule>
  </conditionalFormatting>
  <conditionalFormatting sqref="CH388:CH391">
    <cfRule type="dataBar" priority="1252">
      <dataBar>
        <cfvo type="min"/>
        <cfvo type="max"/>
        <color rgb="FF628DC4"/>
      </dataBar>
    </cfRule>
  </conditionalFormatting>
  <conditionalFormatting sqref="CH397:CH403">
    <cfRule type="dataBar" priority="1318">
      <dataBar>
        <cfvo type="min"/>
        <cfvo type="max"/>
        <color rgb="FF628DC4"/>
      </dataBar>
    </cfRule>
  </conditionalFormatting>
  <conditionalFormatting sqref="CH409:CH413">
    <cfRule type="dataBar" priority="1384">
      <dataBar>
        <cfvo type="min"/>
        <cfvo type="max"/>
        <color rgb="FF628DC4"/>
      </dataBar>
    </cfRule>
  </conditionalFormatting>
  <conditionalFormatting sqref="CH419:CH422">
    <cfRule type="dataBar" priority="1450">
      <dataBar>
        <cfvo type="min"/>
        <cfvo type="max"/>
        <color rgb="FF628DC4"/>
      </dataBar>
    </cfRule>
  </conditionalFormatting>
  <conditionalFormatting sqref="CH428:CH434">
    <cfRule type="dataBar" priority="1516">
      <dataBar>
        <cfvo type="min"/>
        <cfvo type="max"/>
        <color rgb="FF628DC4"/>
      </dataBar>
    </cfRule>
  </conditionalFormatting>
  <conditionalFormatting sqref="CH440:CH444">
    <cfRule type="dataBar" priority="1582">
      <dataBar>
        <cfvo type="min"/>
        <cfvo type="max"/>
        <color rgb="FF628DC4"/>
      </dataBar>
    </cfRule>
  </conditionalFormatting>
  <conditionalFormatting sqref="CH450:CH453">
    <cfRule type="dataBar" priority="1648">
      <dataBar>
        <cfvo type="min"/>
        <cfvo type="max"/>
        <color rgb="FF628DC4"/>
      </dataBar>
    </cfRule>
  </conditionalFormatting>
  <conditionalFormatting sqref="CH459:CH465">
    <cfRule type="dataBar" priority="1714">
      <dataBar>
        <cfvo type="min"/>
        <cfvo type="max"/>
        <color rgb="FF628DC4"/>
      </dataBar>
    </cfRule>
  </conditionalFormatting>
  <conditionalFormatting sqref="CH471:CH475">
    <cfRule type="dataBar" priority="1780">
      <dataBar>
        <cfvo type="min"/>
        <cfvo type="max"/>
        <color rgb="FF628DC4"/>
      </dataBar>
    </cfRule>
  </conditionalFormatting>
  <conditionalFormatting sqref="CH481:CH483">
    <cfRule type="dataBar" priority="1846">
      <dataBar>
        <cfvo type="min"/>
        <cfvo type="max"/>
        <color rgb="FF628DC4"/>
      </dataBar>
    </cfRule>
  </conditionalFormatting>
  <conditionalFormatting sqref="CH489:CH600">
    <cfRule type="dataBar" priority="1912">
      <dataBar>
        <cfvo type="min"/>
        <cfvo type="max"/>
        <color rgb="FF628DC4"/>
      </dataBar>
    </cfRule>
  </conditionalFormatting>
  <conditionalFormatting sqref="CH606:CH613">
    <cfRule type="dataBar" priority="1978">
      <dataBar>
        <cfvo type="min"/>
        <cfvo type="max"/>
        <color rgb="FF628DC4"/>
      </dataBar>
    </cfRule>
  </conditionalFormatting>
  <conditionalFormatting sqref="CH619:CH626">
    <cfRule type="dataBar" priority="2044">
      <dataBar>
        <cfvo type="min"/>
        <cfvo type="max"/>
        <color rgb="FF628DC4"/>
      </dataBar>
    </cfRule>
  </conditionalFormatting>
  <conditionalFormatting sqref="CI6:CI8">
    <cfRule type="dataBar" priority="65">
      <dataBar>
        <cfvo type="min"/>
        <cfvo type="max"/>
        <color rgb="FFFFB628"/>
      </dataBar>
    </cfRule>
  </conditionalFormatting>
  <conditionalFormatting sqref="CI14:CI19">
    <cfRule type="dataBar" priority="131">
      <dataBar>
        <cfvo type="min"/>
        <cfvo type="max"/>
        <color rgb="FFFFB628"/>
      </dataBar>
    </cfRule>
  </conditionalFormatting>
  <conditionalFormatting sqref="CI25:CI75">
    <cfRule type="dataBar" priority="197">
      <dataBar>
        <cfvo type="min"/>
        <cfvo type="max"/>
        <color rgb="FFFFB628"/>
      </dataBar>
    </cfRule>
  </conditionalFormatting>
  <conditionalFormatting sqref="CI81:CI83">
    <cfRule type="dataBar" priority="263">
      <dataBar>
        <cfvo type="min"/>
        <cfvo type="max"/>
        <color rgb="FFFFB628"/>
      </dataBar>
    </cfRule>
  </conditionalFormatting>
  <conditionalFormatting sqref="CI89:CI92">
    <cfRule type="dataBar" priority="329">
      <dataBar>
        <cfvo type="min"/>
        <cfvo type="max"/>
        <color rgb="FFFFB628"/>
      </dataBar>
    </cfRule>
  </conditionalFormatting>
  <conditionalFormatting sqref="CI98:CI108">
    <cfRule type="dataBar" priority="395">
      <dataBar>
        <cfvo type="min"/>
        <cfvo type="max"/>
        <color rgb="FFFFB628"/>
      </dataBar>
    </cfRule>
  </conditionalFormatting>
  <conditionalFormatting sqref="CI114:CI120">
    <cfRule type="dataBar" priority="461">
      <dataBar>
        <cfvo type="min"/>
        <cfvo type="max"/>
        <color rgb="FFFFB628"/>
      </dataBar>
    </cfRule>
  </conditionalFormatting>
  <conditionalFormatting sqref="CI126:CI130">
    <cfRule type="dataBar" priority="527">
      <dataBar>
        <cfvo type="min"/>
        <cfvo type="max"/>
        <color rgb="FFFFB628"/>
      </dataBar>
    </cfRule>
  </conditionalFormatting>
  <conditionalFormatting sqref="CI136:CI142">
    <cfRule type="dataBar" priority="593">
      <dataBar>
        <cfvo type="min"/>
        <cfvo type="max"/>
        <color rgb="FFFFB628"/>
      </dataBar>
    </cfRule>
  </conditionalFormatting>
  <conditionalFormatting sqref="CI148:CI154">
    <cfRule type="dataBar" priority="659">
      <dataBar>
        <cfvo type="min"/>
        <cfvo type="max"/>
        <color rgb="FFFFB628"/>
      </dataBar>
    </cfRule>
  </conditionalFormatting>
  <conditionalFormatting sqref="CI160:CI237">
    <cfRule type="dataBar" priority="725">
      <dataBar>
        <cfvo type="min"/>
        <cfvo type="max"/>
        <color rgb="FFFFB628"/>
      </dataBar>
    </cfRule>
  </conditionalFormatting>
  <conditionalFormatting sqref="CI243:CI320">
    <cfRule type="dataBar" priority="791">
      <dataBar>
        <cfvo type="min"/>
        <cfvo type="max"/>
        <color rgb="FFFFB628"/>
      </dataBar>
    </cfRule>
  </conditionalFormatting>
  <conditionalFormatting sqref="CI326:CI329">
    <cfRule type="dataBar" priority="857">
      <dataBar>
        <cfvo type="min"/>
        <cfvo type="max"/>
        <color rgb="FFFFB628"/>
      </dataBar>
    </cfRule>
  </conditionalFormatting>
  <conditionalFormatting sqref="CI335:CI341">
    <cfRule type="dataBar" priority="923">
      <dataBar>
        <cfvo type="min"/>
        <cfvo type="max"/>
        <color rgb="FFFFB628"/>
      </dataBar>
    </cfRule>
  </conditionalFormatting>
  <conditionalFormatting sqref="CI347:CI351">
    <cfRule type="dataBar" priority="989">
      <dataBar>
        <cfvo type="min"/>
        <cfvo type="max"/>
        <color rgb="FFFFB628"/>
      </dataBar>
    </cfRule>
  </conditionalFormatting>
  <conditionalFormatting sqref="CI357:CI360">
    <cfRule type="dataBar" priority="1055">
      <dataBar>
        <cfvo type="min"/>
        <cfvo type="max"/>
        <color rgb="FFFFB628"/>
      </dataBar>
    </cfRule>
  </conditionalFormatting>
  <conditionalFormatting sqref="CI366:CI372">
    <cfRule type="dataBar" priority="1121">
      <dataBar>
        <cfvo type="min"/>
        <cfvo type="max"/>
        <color rgb="FFFFB628"/>
      </dataBar>
    </cfRule>
  </conditionalFormatting>
  <conditionalFormatting sqref="CI378:CI382">
    <cfRule type="dataBar" priority="1187">
      <dataBar>
        <cfvo type="min"/>
        <cfvo type="max"/>
        <color rgb="FFFFB628"/>
      </dataBar>
    </cfRule>
  </conditionalFormatting>
  <conditionalFormatting sqref="CI388:CI391">
    <cfRule type="dataBar" priority="1253">
      <dataBar>
        <cfvo type="min"/>
        <cfvo type="max"/>
        <color rgb="FFFFB628"/>
      </dataBar>
    </cfRule>
  </conditionalFormatting>
  <conditionalFormatting sqref="CI397:CI403">
    <cfRule type="dataBar" priority="1319">
      <dataBar>
        <cfvo type="min"/>
        <cfvo type="max"/>
        <color rgb="FFFFB628"/>
      </dataBar>
    </cfRule>
  </conditionalFormatting>
  <conditionalFormatting sqref="CI409:CI413">
    <cfRule type="dataBar" priority="1385">
      <dataBar>
        <cfvo type="min"/>
        <cfvo type="max"/>
        <color rgb="FFFFB628"/>
      </dataBar>
    </cfRule>
  </conditionalFormatting>
  <conditionalFormatting sqref="CI419:CI422">
    <cfRule type="dataBar" priority="1451">
      <dataBar>
        <cfvo type="min"/>
        <cfvo type="max"/>
        <color rgb="FFFFB628"/>
      </dataBar>
    </cfRule>
  </conditionalFormatting>
  <conditionalFormatting sqref="CI428:CI434">
    <cfRule type="dataBar" priority="1517">
      <dataBar>
        <cfvo type="min"/>
        <cfvo type="max"/>
        <color rgb="FFFFB628"/>
      </dataBar>
    </cfRule>
  </conditionalFormatting>
  <conditionalFormatting sqref="CI440:CI444">
    <cfRule type="dataBar" priority="1583">
      <dataBar>
        <cfvo type="min"/>
        <cfvo type="max"/>
        <color rgb="FFFFB628"/>
      </dataBar>
    </cfRule>
  </conditionalFormatting>
  <conditionalFormatting sqref="CI450:CI453">
    <cfRule type="dataBar" priority="1649">
      <dataBar>
        <cfvo type="min"/>
        <cfvo type="max"/>
        <color rgb="FFFFB628"/>
      </dataBar>
    </cfRule>
  </conditionalFormatting>
  <conditionalFormatting sqref="CI459:CI465">
    <cfRule type="dataBar" priority="1715">
      <dataBar>
        <cfvo type="min"/>
        <cfvo type="max"/>
        <color rgb="FFFFB628"/>
      </dataBar>
    </cfRule>
  </conditionalFormatting>
  <conditionalFormatting sqref="CI471:CI475">
    <cfRule type="dataBar" priority="1781">
      <dataBar>
        <cfvo type="min"/>
        <cfvo type="max"/>
        <color rgb="FFFFB628"/>
      </dataBar>
    </cfRule>
  </conditionalFormatting>
  <conditionalFormatting sqref="CI481:CI483">
    <cfRule type="dataBar" priority="1847">
      <dataBar>
        <cfvo type="min"/>
        <cfvo type="max"/>
        <color rgb="FFFFB628"/>
      </dataBar>
    </cfRule>
  </conditionalFormatting>
  <conditionalFormatting sqref="CI489:CI600">
    <cfRule type="dataBar" priority="1913">
      <dataBar>
        <cfvo type="min"/>
        <cfvo type="max"/>
        <color rgb="FFFFB628"/>
      </dataBar>
    </cfRule>
  </conditionalFormatting>
  <conditionalFormatting sqref="CI606:CI613">
    <cfRule type="dataBar" priority="1979">
      <dataBar>
        <cfvo type="min"/>
        <cfvo type="max"/>
        <color rgb="FFFFB628"/>
      </dataBar>
    </cfRule>
  </conditionalFormatting>
  <conditionalFormatting sqref="CI619:CI626">
    <cfRule type="dataBar" priority="2045">
      <dataBar>
        <cfvo type="min"/>
        <cfvo type="max"/>
        <color rgb="FFFFB628"/>
      </dataBar>
    </cfRule>
  </conditionalFormatting>
  <conditionalFormatting sqref="CJ6:CJ8">
    <cfRule type="dataBar" priority="66">
      <dataBar>
        <cfvo type="min"/>
        <cfvo type="max"/>
        <color rgb="FFF08D5B"/>
      </dataBar>
    </cfRule>
  </conditionalFormatting>
  <conditionalFormatting sqref="CJ14:CJ19">
    <cfRule type="dataBar" priority="132">
      <dataBar>
        <cfvo type="min"/>
        <cfvo type="max"/>
        <color rgb="FFF08D5B"/>
      </dataBar>
    </cfRule>
  </conditionalFormatting>
  <conditionalFormatting sqref="CJ25:CJ75">
    <cfRule type="dataBar" priority="198">
      <dataBar>
        <cfvo type="min"/>
        <cfvo type="max"/>
        <color rgb="FFF08D5B"/>
      </dataBar>
    </cfRule>
  </conditionalFormatting>
  <conditionalFormatting sqref="CJ81:CJ83">
    <cfRule type="dataBar" priority="264">
      <dataBar>
        <cfvo type="min"/>
        <cfvo type="max"/>
        <color rgb="FFF08D5B"/>
      </dataBar>
    </cfRule>
  </conditionalFormatting>
  <conditionalFormatting sqref="CJ89:CJ92">
    <cfRule type="dataBar" priority="330">
      <dataBar>
        <cfvo type="min"/>
        <cfvo type="max"/>
        <color rgb="FFF08D5B"/>
      </dataBar>
    </cfRule>
  </conditionalFormatting>
  <conditionalFormatting sqref="CJ98:CJ108">
    <cfRule type="dataBar" priority="396">
      <dataBar>
        <cfvo type="min"/>
        <cfvo type="max"/>
        <color rgb="FFF08D5B"/>
      </dataBar>
    </cfRule>
  </conditionalFormatting>
  <conditionalFormatting sqref="CJ114:CJ120">
    <cfRule type="dataBar" priority="462">
      <dataBar>
        <cfvo type="min"/>
        <cfvo type="max"/>
        <color rgb="FFF08D5B"/>
      </dataBar>
    </cfRule>
  </conditionalFormatting>
  <conditionalFormatting sqref="CJ126:CJ130">
    <cfRule type="dataBar" priority="528">
      <dataBar>
        <cfvo type="min"/>
        <cfvo type="max"/>
        <color rgb="FFF08D5B"/>
      </dataBar>
    </cfRule>
  </conditionalFormatting>
  <conditionalFormatting sqref="CJ136:CJ142">
    <cfRule type="dataBar" priority="594">
      <dataBar>
        <cfvo type="min"/>
        <cfvo type="max"/>
        <color rgb="FFF08D5B"/>
      </dataBar>
    </cfRule>
  </conditionalFormatting>
  <conditionalFormatting sqref="CJ148:CJ154">
    <cfRule type="dataBar" priority="660">
      <dataBar>
        <cfvo type="min"/>
        <cfvo type="max"/>
        <color rgb="FFF08D5B"/>
      </dataBar>
    </cfRule>
  </conditionalFormatting>
  <conditionalFormatting sqref="CJ160:CJ237">
    <cfRule type="dataBar" priority="726">
      <dataBar>
        <cfvo type="min"/>
        <cfvo type="max"/>
        <color rgb="FFF08D5B"/>
      </dataBar>
    </cfRule>
  </conditionalFormatting>
  <conditionalFormatting sqref="CJ243:CJ320">
    <cfRule type="dataBar" priority="792">
      <dataBar>
        <cfvo type="min"/>
        <cfvo type="max"/>
        <color rgb="FFF08D5B"/>
      </dataBar>
    </cfRule>
  </conditionalFormatting>
  <conditionalFormatting sqref="CJ326:CJ329">
    <cfRule type="dataBar" priority="858">
      <dataBar>
        <cfvo type="min"/>
        <cfvo type="max"/>
        <color rgb="FFF08D5B"/>
      </dataBar>
    </cfRule>
  </conditionalFormatting>
  <conditionalFormatting sqref="CJ335:CJ341">
    <cfRule type="dataBar" priority="924">
      <dataBar>
        <cfvo type="min"/>
        <cfvo type="max"/>
        <color rgb="FFF08D5B"/>
      </dataBar>
    </cfRule>
  </conditionalFormatting>
  <conditionalFormatting sqref="CJ347:CJ351">
    <cfRule type="dataBar" priority="990">
      <dataBar>
        <cfvo type="min"/>
        <cfvo type="max"/>
        <color rgb="FFF08D5B"/>
      </dataBar>
    </cfRule>
  </conditionalFormatting>
  <conditionalFormatting sqref="CJ357:CJ360">
    <cfRule type="dataBar" priority="1056">
      <dataBar>
        <cfvo type="min"/>
        <cfvo type="max"/>
        <color rgb="FFF08D5B"/>
      </dataBar>
    </cfRule>
  </conditionalFormatting>
  <conditionalFormatting sqref="CJ366:CJ372">
    <cfRule type="dataBar" priority="1122">
      <dataBar>
        <cfvo type="min"/>
        <cfvo type="max"/>
        <color rgb="FFF08D5B"/>
      </dataBar>
    </cfRule>
  </conditionalFormatting>
  <conditionalFormatting sqref="CJ378:CJ382">
    <cfRule type="dataBar" priority="1188">
      <dataBar>
        <cfvo type="min"/>
        <cfvo type="max"/>
        <color rgb="FFF08D5B"/>
      </dataBar>
    </cfRule>
  </conditionalFormatting>
  <conditionalFormatting sqref="CJ388:CJ391">
    <cfRule type="dataBar" priority="1254">
      <dataBar>
        <cfvo type="min"/>
        <cfvo type="max"/>
        <color rgb="FFF08D5B"/>
      </dataBar>
    </cfRule>
  </conditionalFormatting>
  <conditionalFormatting sqref="CJ397:CJ403">
    <cfRule type="dataBar" priority="1320">
      <dataBar>
        <cfvo type="min"/>
        <cfvo type="max"/>
        <color rgb="FFF08D5B"/>
      </dataBar>
    </cfRule>
  </conditionalFormatting>
  <conditionalFormatting sqref="CJ409:CJ413">
    <cfRule type="dataBar" priority="1386">
      <dataBar>
        <cfvo type="min"/>
        <cfvo type="max"/>
        <color rgb="FFF08D5B"/>
      </dataBar>
    </cfRule>
  </conditionalFormatting>
  <conditionalFormatting sqref="CJ419:CJ422">
    <cfRule type="dataBar" priority="1452">
      <dataBar>
        <cfvo type="min"/>
        <cfvo type="max"/>
        <color rgb="FFF08D5B"/>
      </dataBar>
    </cfRule>
  </conditionalFormatting>
  <conditionalFormatting sqref="CJ428:CJ434">
    <cfRule type="dataBar" priority="1518">
      <dataBar>
        <cfvo type="min"/>
        <cfvo type="max"/>
        <color rgb="FFF08D5B"/>
      </dataBar>
    </cfRule>
  </conditionalFormatting>
  <conditionalFormatting sqref="CJ440:CJ444">
    <cfRule type="dataBar" priority="1584">
      <dataBar>
        <cfvo type="min"/>
        <cfvo type="max"/>
        <color rgb="FFF08D5B"/>
      </dataBar>
    </cfRule>
  </conditionalFormatting>
  <conditionalFormatting sqref="CJ450:CJ453">
    <cfRule type="dataBar" priority="1650">
      <dataBar>
        <cfvo type="min"/>
        <cfvo type="max"/>
        <color rgb="FFF08D5B"/>
      </dataBar>
    </cfRule>
  </conditionalFormatting>
  <conditionalFormatting sqref="CJ459:CJ465">
    <cfRule type="dataBar" priority="1716">
      <dataBar>
        <cfvo type="min"/>
        <cfvo type="max"/>
        <color rgb="FFF08D5B"/>
      </dataBar>
    </cfRule>
  </conditionalFormatting>
  <conditionalFormatting sqref="CJ471:CJ475">
    <cfRule type="dataBar" priority="1782">
      <dataBar>
        <cfvo type="min"/>
        <cfvo type="max"/>
        <color rgb="FFF08D5B"/>
      </dataBar>
    </cfRule>
  </conditionalFormatting>
  <conditionalFormatting sqref="CJ481:CJ483">
    <cfRule type="dataBar" priority="1848">
      <dataBar>
        <cfvo type="min"/>
        <cfvo type="max"/>
        <color rgb="FFF08D5B"/>
      </dataBar>
    </cfRule>
  </conditionalFormatting>
  <conditionalFormatting sqref="CJ489:CJ600">
    <cfRule type="dataBar" priority="1914">
      <dataBar>
        <cfvo type="min"/>
        <cfvo type="max"/>
        <color rgb="FFF08D5B"/>
      </dataBar>
    </cfRule>
  </conditionalFormatting>
  <conditionalFormatting sqref="CJ606:CJ613">
    <cfRule type="dataBar" priority="1980">
      <dataBar>
        <cfvo type="min"/>
        <cfvo type="max"/>
        <color rgb="FFF08D5B"/>
      </dataBar>
    </cfRule>
  </conditionalFormatting>
  <conditionalFormatting sqref="CJ619:CJ626">
    <cfRule type="dataBar" priority="2046">
      <dataBar>
        <cfvo type="min"/>
        <cfvo type="max"/>
        <color rgb="FFF08D5B"/>
      </dataBar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8"/>
  <sheetViews>
    <sheetView workbookViewId="0"/>
  </sheetViews>
  <sheetFormatPr defaultRowHeight="14.5" x14ac:dyDescent="0.35"/>
  <cols>
    <col min="1" max="11" width="30.7265625" customWidth="1"/>
  </cols>
  <sheetData>
    <row r="1" spans="1:5" s="3" customFormat="1" x14ac:dyDescent="0.35">
      <c r="A1" s="4">
        <v>0</v>
      </c>
    </row>
    <row r="2" spans="1:5" x14ac:dyDescent="0.35">
      <c r="A2" t="s">
        <v>9</v>
      </c>
      <c r="B2" t="s">
        <v>10</v>
      </c>
      <c r="C2" t="s">
        <v>11</v>
      </c>
      <c r="D2" t="s">
        <v>12</v>
      </c>
      <c r="E2" t="s">
        <v>13</v>
      </c>
    </row>
    <row r="3" spans="1:5" x14ac:dyDescent="0.35">
      <c r="A3" t="s">
        <v>14</v>
      </c>
    </row>
    <row r="4" spans="1:5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35">
      <c r="A5" t="s">
        <v>20</v>
      </c>
      <c r="B5" t="s">
        <v>21</v>
      </c>
      <c r="C5" t="s">
        <v>15</v>
      </c>
    </row>
    <row r="6" spans="1:5" x14ac:dyDescent="0.35">
      <c r="A6" t="s">
        <v>22</v>
      </c>
      <c r="B6" t="s">
        <v>23</v>
      </c>
    </row>
    <row r="7" spans="1:5" x14ac:dyDescent="0.35">
      <c r="A7" t="s">
        <v>24</v>
      </c>
      <c r="B7" t="s">
        <v>15</v>
      </c>
    </row>
    <row r="8" spans="1:5" x14ac:dyDescent="0.35">
      <c r="A8" t="s">
        <v>25</v>
      </c>
    </row>
    <row r="9" spans="1:5" x14ac:dyDescent="0.35">
      <c r="A9" t="s">
        <v>26</v>
      </c>
    </row>
    <row r="10" spans="1:5" x14ac:dyDescent="0.35">
      <c r="A10" t="s">
        <v>27</v>
      </c>
      <c r="B10" t="s">
        <v>28</v>
      </c>
      <c r="C10" t="s">
        <v>29</v>
      </c>
      <c r="D10" t="s">
        <v>9</v>
      </c>
      <c r="E10" t="s">
        <v>30</v>
      </c>
    </row>
    <row r="11" spans="1:5" x14ac:dyDescent="0.35">
      <c r="A11" t="s">
        <v>31</v>
      </c>
    </row>
    <row r="12" spans="1:5" x14ac:dyDescent="0.35">
      <c r="A12" t="s">
        <v>32</v>
      </c>
      <c r="B12" t="s">
        <v>27</v>
      </c>
    </row>
    <row r="13" spans="1:5" x14ac:dyDescent="0.35">
      <c r="A13" t="s">
        <v>33</v>
      </c>
    </row>
    <row r="14" spans="1:5" x14ac:dyDescent="0.35">
      <c r="A14" t="s">
        <v>11</v>
      </c>
      <c r="B14" t="s">
        <v>9</v>
      </c>
      <c r="C14" t="s">
        <v>27</v>
      </c>
    </row>
    <row r="15" spans="1:5" x14ac:dyDescent="0.35">
      <c r="A15" t="s">
        <v>15</v>
      </c>
      <c r="B15" t="s">
        <v>34</v>
      </c>
    </row>
    <row r="16" spans="1:5" x14ac:dyDescent="0.35">
      <c r="A16" t="s">
        <v>35</v>
      </c>
    </row>
    <row r="17" spans="1:5" x14ac:dyDescent="0.35">
      <c r="A17" t="s">
        <v>36</v>
      </c>
    </row>
    <row r="18" spans="1:5" x14ac:dyDescent="0.35">
      <c r="A18" t="s">
        <v>37</v>
      </c>
      <c r="B18" t="s">
        <v>32</v>
      </c>
      <c r="C18" t="s">
        <v>38</v>
      </c>
    </row>
    <row r="19" spans="1:5" x14ac:dyDescent="0.35">
      <c r="A19" t="s">
        <v>18</v>
      </c>
      <c r="B19" t="s">
        <v>15</v>
      </c>
    </row>
    <row r="20" spans="1:5" x14ac:dyDescent="0.35">
      <c r="A20" t="s">
        <v>32</v>
      </c>
      <c r="B20" t="s">
        <v>37</v>
      </c>
    </row>
    <row r="21" spans="1:5" x14ac:dyDescent="0.35">
      <c r="A21" t="s">
        <v>15</v>
      </c>
      <c r="B21" t="s">
        <v>18</v>
      </c>
    </row>
    <row r="22" spans="1:5" x14ac:dyDescent="0.35">
      <c r="A22" t="s">
        <v>24</v>
      </c>
    </row>
    <row r="23" spans="1:5" x14ac:dyDescent="0.35">
      <c r="A23" t="s">
        <v>35</v>
      </c>
      <c r="B23" t="s">
        <v>15</v>
      </c>
      <c r="C23" t="s">
        <v>20</v>
      </c>
      <c r="D23" t="s">
        <v>24</v>
      </c>
      <c r="E23" t="s">
        <v>32</v>
      </c>
    </row>
    <row r="24" spans="1:5" x14ac:dyDescent="0.35">
      <c r="A24" t="s">
        <v>15</v>
      </c>
      <c r="B24" t="s">
        <v>39</v>
      </c>
      <c r="C24" t="s">
        <v>40</v>
      </c>
      <c r="D24" t="s">
        <v>41</v>
      </c>
    </row>
    <row r="25" spans="1:5" x14ac:dyDescent="0.35">
      <c r="A25" t="s">
        <v>42</v>
      </c>
    </row>
    <row r="26" spans="1:5" x14ac:dyDescent="0.35">
      <c r="A26" t="s">
        <v>43</v>
      </c>
    </row>
    <row r="27" spans="1:5" x14ac:dyDescent="0.35">
      <c r="A27" t="s">
        <v>15</v>
      </c>
      <c r="B27" t="s">
        <v>44</v>
      </c>
      <c r="C27" t="s">
        <v>21</v>
      </c>
      <c r="D27" t="s">
        <v>45</v>
      </c>
    </row>
    <row r="28" spans="1:5" x14ac:dyDescent="0.35">
      <c r="A28" t="s">
        <v>10</v>
      </c>
    </row>
    <row r="29" spans="1:5" x14ac:dyDescent="0.35">
      <c r="A29" t="s">
        <v>11</v>
      </c>
      <c r="B29" t="s">
        <v>9</v>
      </c>
      <c r="C29" t="s">
        <v>46</v>
      </c>
      <c r="D29" t="s">
        <v>13</v>
      </c>
    </row>
    <row r="30" spans="1:5" x14ac:dyDescent="0.35">
      <c r="A30" t="s">
        <v>47</v>
      </c>
    </row>
    <row r="31" spans="1:5" x14ac:dyDescent="0.35">
      <c r="A31" t="s">
        <v>48</v>
      </c>
    </row>
    <row r="32" spans="1:5" x14ac:dyDescent="0.35">
      <c r="A32" t="s">
        <v>15</v>
      </c>
      <c r="B32" t="s">
        <v>20</v>
      </c>
    </row>
    <row r="33" spans="1:6" x14ac:dyDescent="0.35">
      <c r="A33" t="s">
        <v>11</v>
      </c>
      <c r="B33" t="s">
        <v>27</v>
      </c>
      <c r="C33" t="s">
        <v>49</v>
      </c>
      <c r="D33" t="s">
        <v>50</v>
      </c>
    </row>
    <row r="34" spans="1:6" x14ac:dyDescent="0.35">
      <c r="A34" t="s">
        <v>11</v>
      </c>
    </row>
    <row r="35" spans="1:6" x14ac:dyDescent="0.35">
      <c r="A35" t="s">
        <v>35</v>
      </c>
    </row>
    <row r="36" spans="1:6" x14ac:dyDescent="0.35">
      <c r="A36" t="s">
        <v>51</v>
      </c>
    </row>
    <row r="37" spans="1:6" x14ac:dyDescent="0.35">
      <c r="A37" t="s">
        <v>52</v>
      </c>
    </row>
    <row r="38" spans="1:6" x14ac:dyDescent="0.35">
      <c r="A38" t="s">
        <v>53</v>
      </c>
    </row>
    <row r="39" spans="1:6" x14ac:dyDescent="0.35">
      <c r="A39" t="s">
        <v>15</v>
      </c>
      <c r="B39" t="s">
        <v>54</v>
      </c>
      <c r="C39" t="s">
        <v>44</v>
      </c>
      <c r="D39" t="s">
        <v>55</v>
      </c>
    </row>
    <row r="40" spans="1:6" x14ac:dyDescent="0.35">
      <c r="A40" t="s">
        <v>56</v>
      </c>
    </row>
    <row r="41" spans="1:6" x14ac:dyDescent="0.35">
      <c r="A41" t="s">
        <v>27</v>
      </c>
      <c r="B41" t="s">
        <v>57</v>
      </c>
      <c r="C41" t="s">
        <v>9</v>
      </c>
      <c r="D41" t="s">
        <v>10</v>
      </c>
    </row>
    <row r="42" spans="1:6" x14ac:dyDescent="0.35">
      <c r="A42" t="s">
        <v>25</v>
      </c>
    </row>
    <row r="43" spans="1:6" x14ac:dyDescent="0.35">
      <c r="A43" t="s">
        <v>15</v>
      </c>
      <c r="B43" t="s">
        <v>18</v>
      </c>
      <c r="C43" t="s">
        <v>58</v>
      </c>
    </row>
    <row r="44" spans="1:6" x14ac:dyDescent="0.35">
      <c r="A44" t="s">
        <v>37</v>
      </c>
      <c r="B44" t="s">
        <v>32</v>
      </c>
      <c r="C44" t="s">
        <v>35</v>
      </c>
    </row>
    <row r="45" spans="1:6" x14ac:dyDescent="0.35">
      <c r="A45" t="s">
        <v>15</v>
      </c>
      <c r="B45" t="s">
        <v>26</v>
      </c>
    </row>
    <row r="46" spans="1:6" x14ac:dyDescent="0.35">
      <c r="A46" t="s">
        <v>32</v>
      </c>
      <c r="B46" t="s">
        <v>59</v>
      </c>
    </row>
    <row r="47" spans="1:6" x14ac:dyDescent="0.35">
      <c r="A47" t="s">
        <v>60</v>
      </c>
      <c r="B47" t="s">
        <v>49</v>
      </c>
      <c r="C47" t="s">
        <v>11</v>
      </c>
      <c r="D47" t="s">
        <v>15</v>
      </c>
      <c r="E47" t="s">
        <v>61</v>
      </c>
      <c r="F47" t="s">
        <v>10</v>
      </c>
    </row>
    <row r="48" spans="1:6" x14ac:dyDescent="0.35">
      <c r="A48" t="s">
        <v>62</v>
      </c>
    </row>
    <row r="49" spans="1:5" x14ac:dyDescent="0.35">
      <c r="A49" t="s">
        <v>9</v>
      </c>
      <c r="B49" t="s">
        <v>29</v>
      </c>
      <c r="C49" t="s">
        <v>18</v>
      </c>
      <c r="D49" t="s">
        <v>63</v>
      </c>
    </row>
    <row r="50" spans="1:5" x14ac:dyDescent="0.35">
      <c r="A50" t="s">
        <v>35</v>
      </c>
      <c r="B50" t="s">
        <v>31</v>
      </c>
    </row>
    <row r="51" spans="1:5" x14ac:dyDescent="0.35">
      <c r="A51" t="s">
        <v>32</v>
      </c>
    </row>
    <row r="52" spans="1:5" x14ac:dyDescent="0.35">
      <c r="A52" t="s">
        <v>64</v>
      </c>
      <c r="B52" t="s">
        <v>31</v>
      </c>
    </row>
    <row r="53" spans="1:5" x14ac:dyDescent="0.35">
      <c r="A53" t="s">
        <v>59</v>
      </c>
    </row>
    <row r="54" spans="1:5" x14ac:dyDescent="0.35">
      <c r="A54" t="s">
        <v>15</v>
      </c>
      <c r="B54" t="s">
        <v>18</v>
      </c>
      <c r="C54" t="s">
        <v>27</v>
      </c>
      <c r="D54" t="s">
        <v>12</v>
      </c>
      <c r="E54" t="s">
        <v>13</v>
      </c>
    </row>
    <row r="55" spans="1:5" x14ac:dyDescent="0.35">
      <c r="A55" t="s">
        <v>23</v>
      </c>
      <c r="B55" t="s">
        <v>11</v>
      </c>
    </row>
    <row r="56" spans="1:5" x14ac:dyDescent="0.35">
      <c r="A56" t="s">
        <v>32</v>
      </c>
      <c r="B56" t="s">
        <v>65</v>
      </c>
      <c r="C56" t="s">
        <v>66</v>
      </c>
    </row>
    <row r="57" spans="1:5" x14ac:dyDescent="0.35">
      <c r="A57" t="s">
        <v>65</v>
      </c>
    </row>
    <row r="58" spans="1:5" x14ac:dyDescent="0.35">
      <c r="A58" t="s">
        <v>35</v>
      </c>
      <c r="B58" t="s">
        <v>31</v>
      </c>
      <c r="C58" t="s">
        <v>15</v>
      </c>
      <c r="D58" t="s">
        <v>20</v>
      </c>
      <c r="E58" t="s">
        <v>65</v>
      </c>
    </row>
    <row r="59" spans="1:5" x14ac:dyDescent="0.35">
      <c r="A59" t="s">
        <v>35</v>
      </c>
      <c r="B59" t="s">
        <v>38</v>
      </c>
      <c r="C59" t="s">
        <v>31</v>
      </c>
      <c r="D59" t="s">
        <v>67</v>
      </c>
    </row>
    <row r="60" spans="1:5" x14ac:dyDescent="0.35">
      <c r="A60" t="s">
        <v>29</v>
      </c>
      <c r="B60" t="s">
        <v>31</v>
      </c>
    </row>
    <row r="61" spans="1:5" x14ac:dyDescent="0.35">
      <c r="A61" t="s">
        <v>68</v>
      </c>
      <c r="B61" t="s">
        <v>25</v>
      </c>
    </row>
    <row r="62" spans="1:5" x14ac:dyDescent="0.35">
      <c r="A62" t="s">
        <v>69</v>
      </c>
    </row>
    <row r="63" spans="1:5" x14ac:dyDescent="0.35">
      <c r="A63" t="s">
        <v>10</v>
      </c>
      <c r="B63" t="s">
        <v>70</v>
      </c>
      <c r="C63" t="s">
        <v>71</v>
      </c>
      <c r="D63" t="s">
        <v>9</v>
      </c>
    </row>
    <row r="64" spans="1:5" x14ac:dyDescent="0.35">
      <c r="A64" t="s">
        <v>72</v>
      </c>
      <c r="B64" t="s">
        <v>11</v>
      </c>
      <c r="C64" t="s">
        <v>73</v>
      </c>
    </row>
    <row r="65" spans="1:5" x14ac:dyDescent="0.35">
      <c r="A65" t="s">
        <v>74</v>
      </c>
      <c r="B65" t="s">
        <v>59</v>
      </c>
    </row>
    <row r="66" spans="1:5" x14ac:dyDescent="0.35">
      <c r="A66" t="s">
        <v>9</v>
      </c>
    </row>
    <row r="67" spans="1:5" x14ac:dyDescent="0.35">
      <c r="A67" t="s">
        <v>35</v>
      </c>
      <c r="B67" t="s">
        <v>32</v>
      </c>
    </row>
    <row r="68" spans="1:5" x14ac:dyDescent="0.35">
      <c r="A68" t="s">
        <v>44</v>
      </c>
      <c r="B68" t="s">
        <v>75</v>
      </c>
    </row>
    <row r="69" spans="1:5" x14ac:dyDescent="0.35">
      <c r="A69" t="s">
        <v>11</v>
      </c>
    </row>
    <row r="70" spans="1:5" x14ac:dyDescent="0.35">
      <c r="A70" t="s">
        <v>76</v>
      </c>
    </row>
    <row r="71" spans="1:5" x14ac:dyDescent="0.35">
      <c r="A71" t="s">
        <v>77</v>
      </c>
      <c r="B71" t="s">
        <v>9</v>
      </c>
    </row>
    <row r="72" spans="1:5" x14ac:dyDescent="0.35">
      <c r="A72" t="s">
        <v>35</v>
      </c>
      <c r="B72" t="s">
        <v>31</v>
      </c>
      <c r="C72" t="s">
        <v>78</v>
      </c>
      <c r="D72" t="s">
        <v>32</v>
      </c>
    </row>
    <row r="73" spans="1:5" x14ac:dyDescent="0.35">
      <c r="A73" t="s">
        <v>35</v>
      </c>
    </row>
    <row r="74" spans="1:5" x14ac:dyDescent="0.35">
      <c r="A74" t="s">
        <v>79</v>
      </c>
      <c r="B74" t="s">
        <v>59</v>
      </c>
      <c r="C74" t="s">
        <v>80</v>
      </c>
    </row>
    <row r="75" spans="1:5" x14ac:dyDescent="0.35">
      <c r="A75" t="s">
        <v>10</v>
      </c>
      <c r="B75" t="s">
        <v>9</v>
      </c>
      <c r="C75" t="s">
        <v>81</v>
      </c>
      <c r="D75" t="s">
        <v>29</v>
      </c>
      <c r="E75" t="s">
        <v>27</v>
      </c>
    </row>
    <row r="76" spans="1:5" x14ac:dyDescent="0.35">
      <c r="A76" t="s">
        <v>82</v>
      </c>
      <c r="B76" t="s">
        <v>15</v>
      </c>
      <c r="C76" t="s">
        <v>20</v>
      </c>
    </row>
    <row r="77" spans="1:5" x14ac:dyDescent="0.35">
      <c r="A77" t="s">
        <v>9</v>
      </c>
      <c r="B77" t="s">
        <v>10</v>
      </c>
      <c r="C77" t="s">
        <v>83</v>
      </c>
    </row>
    <row r="78" spans="1:5" x14ac:dyDescent="0.35">
      <c r="A78" t="s">
        <v>9</v>
      </c>
      <c r="B78" t="s">
        <v>10</v>
      </c>
      <c r="C78" t="s">
        <v>57</v>
      </c>
    </row>
    <row r="79" spans="1:5" x14ac:dyDescent="0.35">
      <c r="A79" t="s">
        <v>37</v>
      </c>
      <c r="B79" t="s">
        <v>15</v>
      </c>
      <c r="C79" t="s">
        <v>84</v>
      </c>
    </row>
    <row r="80" spans="1:5" x14ac:dyDescent="0.35">
      <c r="A80" t="s">
        <v>9</v>
      </c>
    </row>
    <row r="81" spans="1:6" x14ac:dyDescent="0.35">
      <c r="A81" t="s">
        <v>15</v>
      </c>
    </row>
    <row r="82" spans="1:6" x14ac:dyDescent="0.35">
      <c r="A82" t="s">
        <v>15</v>
      </c>
      <c r="B82" t="s">
        <v>20</v>
      </c>
    </row>
    <row r="83" spans="1:6" x14ac:dyDescent="0.35">
      <c r="A83" t="s">
        <v>35</v>
      </c>
      <c r="B83" t="s">
        <v>37</v>
      </c>
    </row>
    <row r="84" spans="1:6" x14ac:dyDescent="0.35">
      <c r="A84" t="s">
        <v>18</v>
      </c>
      <c r="B84" t="s">
        <v>15</v>
      </c>
    </row>
    <row r="85" spans="1:6" x14ac:dyDescent="0.35">
      <c r="A85" t="s">
        <v>85</v>
      </c>
    </row>
    <row r="86" spans="1:6" x14ac:dyDescent="0.35">
      <c r="A86" t="s">
        <v>15</v>
      </c>
      <c r="B86" t="s">
        <v>18</v>
      </c>
    </row>
    <row r="87" spans="1:6" x14ac:dyDescent="0.35">
      <c r="A87" t="s">
        <v>59</v>
      </c>
    </row>
    <row r="88" spans="1:6" x14ac:dyDescent="0.35">
      <c r="A88" t="s">
        <v>31</v>
      </c>
      <c r="B88" t="s">
        <v>86</v>
      </c>
      <c r="C88" t="s">
        <v>14</v>
      </c>
      <c r="D88" t="s">
        <v>35</v>
      </c>
      <c r="E88" t="s">
        <v>24</v>
      </c>
      <c r="F88" t="s">
        <v>32</v>
      </c>
    </row>
    <row r="89" spans="1:6" x14ac:dyDescent="0.35">
      <c r="A89" t="s">
        <v>87</v>
      </c>
      <c r="B89" t="s">
        <v>35</v>
      </c>
    </row>
    <row r="90" spans="1:6" x14ac:dyDescent="0.35">
      <c r="A90" t="s">
        <v>35</v>
      </c>
      <c r="B90" t="s">
        <v>31</v>
      </c>
    </row>
    <row r="91" spans="1:6" x14ac:dyDescent="0.35">
      <c r="A91" t="s">
        <v>88</v>
      </c>
      <c r="B91" t="s">
        <v>15</v>
      </c>
      <c r="C91" t="s">
        <v>20</v>
      </c>
      <c r="D91" t="s">
        <v>89</v>
      </c>
      <c r="E91" t="s">
        <v>90</v>
      </c>
    </row>
    <row r="92" spans="1:6" x14ac:dyDescent="0.35">
      <c r="A92" t="s">
        <v>27</v>
      </c>
      <c r="B92" t="s">
        <v>91</v>
      </c>
      <c r="C92" t="s">
        <v>92</v>
      </c>
    </row>
    <row r="93" spans="1:6" x14ac:dyDescent="0.35">
      <c r="A93" t="s">
        <v>9</v>
      </c>
      <c r="B93" t="s">
        <v>93</v>
      </c>
      <c r="C93" t="s">
        <v>94</v>
      </c>
    </row>
    <row r="94" spans="1:6" x14ac:dyDescent="0.35">
      <c r="A94" t="s">
        <v>11</v>
      </c>
    </row>
    <row r="95" spans="1:6" x14ac:dyDescent="0.35">
      <c r="A95" t="s">
        <v>95</v>
      </c>
    </row>
    <row r="96" spans="1:6" x14ac:dyDescent="0.35">
      <c r="A96" t="s">
        <v>96</v>
      </c>
      <c r="B96" t="s">
        <v>34</v>
      </c>
    </row>
    <row r="97" spans="1:8" x14ac:dyDescent="0.35">
      <c r="A97" t="s">
        <v>9</v>
      </c>
      <c r="B97" t="s">
        <v>13</v>
      </c>
    </row>
    <row r="98" spans="1:8" x14ac:dyDescent="0.35">
      <c r="A98" t="s">
        <v>59</v>
      </c>
    </row>
    <row r="99" spans="1:8" x14ac:dyDescent="0.35">
      <c r="A99" t="s">
        <v>87</v>
      </c>
    </row>
    <row r="100" spans="1:8" x14ac:dyDescent="0.35">
      <c r="A100" t="s">
        <v>10</v>
      </c>
      <c r="B100" t="s">
        <v>9</v>
      </c>
      <c r="C100" t="s">
        <v>11</v>
      </c>
    </row>
    <row r="101" spans="1:8" x14ac:dyDescent="0.35">
      <c r="A101" t="s">
        <v>97</v>
      </c>
      <c r="B101" t="s">
        <v>18</v>
      </c>
      <c r="C101" t="s">
        <v>57</v>
      </c>
      <c r="D101" t="s">
        <v>98</v>
      </c>
      <c r="E101" t="s">
        <v>99</v>
      </c>
    </row>
    <row r="102" spans="1:8" x14ac:dyDescent="0.35">
      <c r="A102" t="s">
        <v>10</v>
      </c>
      <c r="B102" t="s">
        <v>9</v>
      </c>
      <c r="C102" t="s">
        <v>30</v>
      </c>
      <c r="D102" t="s">
        <v>100</v>
      </c>
      <c r="E102" t="s">
        <v>101</v>
      </c>
      <c r="F102" t="s">
        <v>102</v>
      </c>
      <c r="G102" t="s">
        <v>103</v>
      </c>
      <c r="H102" t="s">
        <v>104</v>
      </c>
    </row>
    <row r="103" spans="1:8" x14ac:dyDescent="0.35">
      <c r="A103" t="s">
        <v>11</v>
      </c>
      <c r="B103" t="s">
        <v>105</v>
      </c>
    </row>
    <row r="104" spans="1:8" x14ac:dyDescent="0.35">
      <c r="A104" t="s">
        <v>15</v>
      </c>
      <c r="B104" t="s">
        <v>18</v>
      </c>
      <c r="C104" t="s">
        <v>42</v>
      </c>
    </row>
    <row r="105" spans="1:8" x14ac:dyDescent="0.35">
      <c r="A105" t="s">
        <v>27</v>
      </c>
      <c r="B105" t="s">
        <v>102</v>
      </c>
      <c r="C105" t="s">
        <v>9</v>
      </c>
      <c r="D105" t="s">
        <v>106</v>
      </c>
      <c r="E105" t="s">
        <v>107</v>
      </c>
    </row>
    <row r="106" spans="1:8" x14ac:dyDescent="0.35">
      <c r="A106" t="s">
        <v>15</v>
      </c>
      <c r="B106" t="s">
        <v>18</v>
      </c>
      <c r="C106" t="s">
        <v>31</v>
      </c>
      <c r="D106" t="s">
        <v>17</v>
      </c>
    </row>
    <row r="107" spans="1:8" x14ac:dyDescent="0.35">
      <c r="A107" t="s">
        <v>38</v>
      </c>
      <c r="B107" t="s">
        <v>35</v>
      </c>
      <c r="C107" t="s">
        <v>14</v>
      </c>
      <c r="D107" t="s">
        <v>11</v>
      </c>
    </row>
    <row r="108" spans="1:8" x14ac:dyDescent="0.35">
      <c r="A108" t="s">
        <v>27</v>
      </c>
      <c r="B108" t="s">
        <v>108</v>
      </c>
    </row>
    <row r="109" spans="1:8" x14ac:dyDescent="0.35">
      <c r="A109" t="s">
        <v>42</v>
      </c>
      <c r="B109" t="s">
        <v>109</v>
      </c>
    </row>
    <row r="110" spans="1:8" x14ac:dyDescent="0.35">
      <c r="A110" t="s">
        <v>27</v>
      </c>
    </row>
    <row r="111" spans="1:8" x14ac:dyDescent="0.35">
      <c r="A111" t="s">
        <v>110</v>
      </c>
      <c r="B111" t="s">
        <v>27</v>
      </c>
    </row>
    <row r="112" spans="1:8" x14ac:dyDescent="0.35">
      <c r="A112" t="s">
        <v>111</v>
      </c>
      <c r="B112" t="s">
        <v>112</v>
      </c>
    </row>
    <row r="113" spans="1:7" x14ac:dyDescent="0.35">
      <c r="A113" t="s">
        <v>113</v>
      </c>
      <c r="B113" t="s">
        <v>35</v>
      </c>
      <c r="C113" t="s">
        <v>114</v>
      </c>
      <c r="D113" t="s">
        <v>115</v>
      </c>
      <c r="E113" t="s">
        <v>74</v>
      </c>
    </row>
    <row r="114" spans="1:7" x14ac:dyDescent="0.35">
      <c r="A114" t="s">
        <v>116</v>
      </c>
      <c r="B114" t="s">
        <v>117</v>
      </c>
    </row>
    <row r="115" spans="1:7" x14ac:dyDescent="0.35">
      <c r="A115" t="s">
        <v>37</v>
      </c>
    </row>
    <row r="116" spans="1:7" x14ac:dyDescent="0.35">
      <c r="A116" t="s">
        <v>27</v>
      </c>
      <c r="B116" t="s">
        <v>29</v>
      </c>
      <c r="C116" t="s">
        <v>118</v>
      </c>
    </row>
    <row r="117" spans="1:7" x14ac:dyDescent="0.35">
      <c r="A117" t="s">
        <v>119</v>
      </c>
    </row>
    <row r="118" spans="1:7" x14ac:dyDescent="0.35">
      <c r="A118" t="s">
        <v>32</v>
      </c>
      <c r="B118" t="s">
        <v>31</v>
      </c>
    </row>
    <row r="119" spans="1:7" x14ac:dyDescent="0.35">
      <c r="A119" t="s">
        <v>31</v>
      </c>
      <c r="B119" t="s">
        <v>15</v>
      </c>
    </row>
    <row r="120" spans="1:7" x14ac:dyDescent="0.35">
      <c r="A120" t="s">
        <v>31</v>
      </c>
    </row>
    <row r="121" spans="1:7" x14ac:dyDescent="0.35">
      <c r="A121" t="s">
        <v>120</v>
      </c>
    </row>
    <row r="122" spans="1:7" x14ac:dyDescent="0.35">
      <c r="A122" t="s">
        <v>121</v>
      </c>
      <c r="B122" t="s">
        <v>122</v>
      </c>
      <c r="C122" t="s">
        <v>123</v>
      </c>
      <c r="D122" t="s">
        <v>103</v>
      </c>
    </row>
    <row r="123" spans="1:7" x14ac:dyDescent="0.35">
      <c r="A123" t="s">
        <v>15</v>
      </c>
    </row>
    <row r="124" spans="1:7" x14ac:dyDescent="0.35">
      <c r="A124" t="s">
        <v>27</v>
      </c>
    </row>
    <row r="125" spans="1:7" x14ac:dyDescent="0.35">
      <c r="A125" t="s">
        <v>124</v>
      </c>
      <c r="B125" t="s">
        <v>18</v>
      </c>
      <c r="C125" t="s">
        <v>125</v>
      </c>
    </row>
    <row r="126" spans="1:7" x14ac:dyDescent="0.35">
      <c r="A126" t="s">
        <v>23</v>
      </c>
      <c r="B126" t="s">
        <v>9</v>
      </c>
      <c r="C126" t="s">
        <v>83</v>
      </c>
      <c r="D126" t="s">
        <v>10</v>
      </c>
      <c r="E126" t="s">
        <v>126</v>
      </c>
      <c r="F126" t="s">
        <v>127</v>
      </c>
      <c r="G126" t="s">
        <v>128</v>
      </c>
    </row>
    <row r="127" spans="1:7" x14ac:dyDescent="0.35">
      <c r="A127" t="s">
        <v>29</v>
      </c>
      <c r="B127" t="s">
        <v>27</v>
      </c>
    </row>
    <row r="128" spans="1:7" x14ac:dyDescent="0.35">
      <c r="A128" t="s">
        <v>94</v>
      </c>
      <c r="B128" t="s">
        <v>129</v>
      </c>
      <c r="C128" t="s">
        <v>15</v>
      </c>
    </row>
    <row r="129" spans="1:5" x14ac:dyDescent="0.35">
      <c r="A129" t="s">
        <v>121</v>
      </c>
      <c r="B129" t="s">
        <v>130</v>
      </c>
      <c r="C129" t="s">
        <v>131</v>
      </c>
      <c r="D129" t="s">
        <v>10</v>
      </c>
    </row>
    <row r="130" spans="1:5" x14ac:dyDescent="0.35">
      <c r="A130" t="s">
        <v>13</v>
      </c>
      <c r="B130" t="s">
        <v>9</v>
      </c>
      <c r="C130" t="s">
        <v>12</v>
      </c>
      <c r="D130" t="s">
        <v>35</v>
      </c>
    </row>
    <row r="131" spans="1:5" x14ac:dyDescent="0.35">
      <c r="A131" t="s">
        <v>132</v>
      </c>
      <c r="B131" t="s">
        <v>133</v>
      </c>
    </row>
    <row r="132" spans="1:5" x14ac:dyDescent="0.35">
      <c r="A132" t="s">
        <v>134</v>
      </c>
    </row>
    <row r="133" spans="1:5" x14ac:dyDescent="0.35">
      <c r="A133" t="s">
        <v>135</v>
      </c>
    </row>
    <row r="134" spans="1:5" x14ac:dyDescent="0.35">
      <c r="A134" t="s">
        <v>15</v>
      </c>
    </row>
    <row r="135" spans="1:5" x14ac:dyDescent="0.35">
      <c r="A135" t="s">
        <v>136</v>
      </c>
    </row>
    <row r="136" spans="1:5" x14ac:dyDescent="0.35">
      <c r="A136" t="s">
        <v>9</v>
      </c>
      <c r="B136" t="s">
        <v>35</v>
      </c>
      <c r="C136" t="s">
        <v>38</v>
      </c>
    </row>
    <row r="137" spans="1:5" x14ac:dyDescent="0.35">
      <c r="A137" t="s">
        <v>9</v>
      </c>
      <c r="B137" t="s">
        <v>137</v>
      </c>
      <c r="C137" t="s">
        <v>138</v>
      </c>
      <c r="D137" t="s">
        <v>139</v>
      </c>
      <c r="E137" t="s">
        <v>13</v>
      </c>
    </row>
    <row r="138" spans="1:5" x14ac:dyDescent="0.35">
      <c r="A138" t="s">
        <v>120</v>
      </c>
    </row>
    <row r="139" spans="1:5" x14ac:dyDescent="0.35">
      <c r="A139" t="s">
        <v>140</v>
      </c>
      <c r="B139" t="s">
        <v>141</v>
      </c>
      <c r="C139" t="s">
        <v>21</v>
      </c>
      <c r="D139" t="s">
        <v>142</v>
      </c>
    </row>
    <row r="140" spans="1:5" x14ac:dyDescent="0.35">
      <c r="A140" t="s">
        <v>143</v>
      </c>
    </row>
    <row r="141" spans="1:5" x14ac:dyDescent="0.35">
      <c r="A141" t="s">
        <v>18</v>
      </c>
      <c r="B141" t="s">
        <v>97</v>
      </c>
      <c r="C141" t="s">
        <v>144</v>
      </c>
    </row>
    <row r="142" spans="1:5" x14ac:dyDescent="0.35">
      <c r="A142" t="s">
        <v>28</v>
      </c>
      <c r="B142" t="s">
        <v>27</v>
      </c>
      <c r="C142" t="s">
        <v>145</v>
      </c>
    </row>
    <row r="143" spans="1:5" x14ac:dyDescent="0.35">
      <c r="A143" t="s">
        <v>126</v>
      </c>
      <c r="B143" t="s">
        <v>65</v>
      </c>
    </row>
    <row r="144" spans="1:5" x14ac:dyDescent="0.35">
      <c r="A144" t="s">
        <v>9</v>
      </c>
      <c r="B144" t="s">
        <v>46</v>
      </c>
      <c r="C144" t="s">
        <v>128</v>
      </c>
      <c r="D144" t="s">
        <v>13</v>
      </c>
    </row>
    <row r="145" spans="1:7" x14ac:dyDescent="0.35">
      <c r="A145" t="s">
        <v>15</v>
      </c>
    </row>
    <row r="146" spans="1:7" x14ac:dyDescent="0.35">
      <c r="A146" t="s">
        <v>15</v>
      </c>
    </row>
    <row r="147" spans="1:7" x14ac:dyDescent="0.35">
      <c r="A147" t="s">
        <v>21</v>
      </c>
      <c r="B147" t="s">
        <v>20</v>
      </c>
      <c r="C147" t="s">
        <v>11</v>
      </c>
      <c r="D147" t="s">
        <v>18</v>
      </c>
    </row>
    <row r="148" spans="1:7" x14ac:dyDescent="0.35">
      <c r="A148" t="s">
        <v>9</v>
      </c>
      <c r="B148" t="s">
        <v>16</v>
      </c>
      <c r="C148" t="s">
        <v>31</v>
      </c>
      <c r="D148" t="s">
        <v>146</v>
      </c>
      <c r="E148" t="s">
        <v>147</v>
      </c>
    </row>
    <row r="149" spans="1:7" x14ac:dyDescent="0.35">
      <c r="A149" t="s">
        <v>11</v>
      </c>
      <c r="B149" t="s">
        <v>9</v>
      </c>
      <c r="C149" t="s">
        <v>46</v>
      </c>
      <c r="D149" t="s">
        <v>30</v>
      </c>
      <c r="E149" t="s">
        <v>128</v>
      </c>
      <c r="F149" t="s">
        <v>27</v>
      </c>
      <c r="G149" t="s">
        <v>29</v>
      </c>
    </row>
    <row r="150" spans="1:7" x14ac:dyDescent="0.35">
      <c r="A150" t="s">
        <v>18</v>
      </c>
    </row>
    <row r="151" spans="1:7" x14ac:dyDescent="0.35">
      <c r="A151" t="s">
        <v>18</v>
      </c>
    </row>
    <row r="152" spans="1:7" x14ac:dyDescent="0.35">
      <c r="A152" t="s">
        <v>148</v>
      </c>
    </row>
    <row r="153" spans="1:7" x14ac:dyDescent="0.35">
      <c r="A153" t="s">
        <v>59</v>
      </c>
      <c r="B153" t="s">
        <v>149</v>
      </c>
    </row>
    <row r="154" spans="1:7" x14ac:dyDescent="0.35">
      <c r="A154" t="s">
        <v>131</v>
      </c>
      <c r="B154" t="s">
        <v>141</v>
      </c>
      <c r="C154" t="s">
        <v>140</v>
      </c>
      <c r="D154" t="s">
        <v>9</v>
      </c>
      <c r="E154" t="s">
        <v>150</v>
      </c>
    </row>
    <row r="155" spans="1:7" x14ac:dyDescent="0.35">
      <c r="A155" t="s">
        <v>27</v>
      </c>
    </row>
    <row r="156" spans="1:7" x14ac:dyDescent="0.35">
      <c r="A156" t="s">
        <v>59</v>
      </c>
    </row>
    <row r="157" spans="1:7" x14ac:dyDescent="0.35">
      <c r="A157" t="s">
        <v>18</v>
      </c>
    </row>
    <row r="158" spans="1:7" x14ac:dyDescent="0.35">
      <c r="A158" t="s">
        <v>24</v>
      </c>
      <c r="B158" t="s">
        <v>35</v>
      </c>
      <c r="C158" t="s">
        <v>32</v>
      </c>
    </row>
    <row r="159" spans="1:7" x14ac:dyDescent="0.35">
      <c r="A159" t="s">
        <v>13</v>
      </c>
      <c r="B159" t="s">
        <v>55</v>
      </c>
      <c r="C159" t="s">
        <v>151</v>
      </c>
    </row>
    <row r="160" spans="1:7" x14ac:dyDescent="0.35">
      <c r="A160" t="s">
        <v>9</v>
      </c>
      <c r="B160" t="s">
        <v>152</v>
      </c>
    </row>
    <row r="161" spans="1:5" x14ac:dyDescent="0.35">
      <c r="A161" t="s">
        <v>29</v>
      </c>
      <c r="B161" t="s">
        <v>153</v>
      </c>
    </row>
    <row r="162" spans="1:5" x14ac:dyDescent="0.35">
      <c r="A162" t="s">
        <v>78</v>
      </c>
      <c r="B162" t="s">
        <v>35</v>
      </c>
      <c r="C162" t="s">
        <v>154</v>
      </c>
      <c r="D162" t="s">
        <v>31</v>
      </c>
    </row>
    <row r="163" spans="1:5" x14ac:dyDescent="0.35">
      <c r="A163" t="s">
        <v>31</v>
      </c>
      <c r="B163" t="s">
        <v>35</v>
      </c>
      <c r="C163" t="s">
        <v>21</v>
      </c>
      <c r="D163" t="s">
        <v>18</v>
      </c>
      <c r="E163" t="s">
        <v>15</v>
      </c>
    </row>
    <row r="164" spans="1:5" x14ac:dyDescent="0.35">
      <c r="A164" t="s">
        <v>15</v>
      </c>
      <c r="B164" t="s">
        <v>155</v>
      </c>
    </row>
    <row r="165" spans="1:5" x14ac:dyDescent="0.35">
      <c r="A165" t="s">
        <v>57</v>
      </c>
    </row>
    <row r="166" spans="1:5" x14ac:dyDescent="0.35">
      <c r="A166" t="s">
        <v>156</v>
      </c>
    </row>
    <row r="167" spans="1:5" x14ac:dyDescent="0.35">
      <c r="A167" t="s">
        <v>31</v>
      </c>
      <c r="B167" t="s">
        <v>15</v>
      </c>
      <c r="C167" t="s">
        <v>18</v>
      </c>
      <c r="D167" t="s">
        <v>57</v>
      </c>
    </row>
    <row r="168" spans="1:5" x14ac:dyDescent="0.35">
      <c r="A168" t="s">
        <v>18</v>
      </c>
      <c r="B168" t="s">
        <v>15</v>
      </c>
      <c r="C168" t="s">
        <v>57</v>
      </c>
      <c r="D168" t="s">
        <v>23</v>
      </c>
    </row>
    <row r="169" spans="1:5" x14ac:dyDescent="0.35">
      <c r="A169" t="s">
        <v>35</v>
      </c>
      <c r="B169" t="s">
        <v>18</v>
      </c>
      <c r="C169" t="s">
        <v>15</v>
      </c>
      <c r="D169" t="s">
        <v>20</v>
      </c>
    </row>
    <row r="170" spans="1:5" x14ac:dyDescent="0.35">
      <c r="A170" t="s">
        <v>18</v>
      </c>
      <c r="B170" t="s">
        <v>15</v>
      </c>
    </row>
    <row r="171" spans="1:5" x14ac:dyDescent="0.35">
      <c r="A171" t="s">
        <v>18</v>
      </c>
      <c r="B171" t="s">
        <v>40</v>
      </c>
      <c r="C171" t="s">
        <v>157</v>
      </c>
      <c r="D171" t="s">
        <v>158</v>
      </c>
    </row>
    <row r="172" spans="1:5" x14ac:dyDescent="0.35">
      <c r="A172" t="s">
        <v>27</v>
      </c>
      <c r="B172" t="s">
        <v>159</v>
      </c>
      <c r="C172" t="s">
        <v>29</v>
      </c>
    </row>
    <row r="173" spans="1:5" x14ac:dyDescent="0.35">
      <c r="A173" t="s">
        <v>15</v>
      </c>
    </row>
    <row r="174" spans="1:5" x14ac:dyDescent="0.35">
      <c r="A174" t="s">
        <v>27</v>
      </c>
      <c r="B174" t="s">
        <v>160</v>
      </c>
      <c r="C174" t="s">
        <v>80</v>
      </c>
    </row>
    <row r="175" spans="1:5" x14ac:dyDescent="0.35">
      <c r="A175" t="s">
        <v>161</v>
      </c>
    </row>
    <row r="176" spans="1:5" x14ac:dyDescent="0.35">
      <c r="A176" t="s">
        <v>162</v>
      </c>
      <c r="B176" t="s">
        <v>163</v>
      </c>
      <c r="C176" t="s">
        <v>164</v>
      </c>
    </row>
    <row r="177" spans="1:5" x14ac:dyDescent="0.35">
      <c r="A177" t="s">
        <v>64</v>
      </c>
      <c r="B177" t="s">
        <v>165</v>
      </c>
      <c r="C177" t="s">
        <v>31</v>
      </c>
      <c r="D177" t="s">
        <v>24</v>
      </c>
      <c r="E177" t="s">
        <v>35</v>
      </c>
    </row>
    <row r="178" spans="1:5" x14ac:dyDescent="0.35">
      <c r="A178" t="s">
        <v>86</v>
      </c>
    </row>
    <row r="179" spans="1:5" x14ac:dyDescent="0.35">
      <c r="A179" t="s">
        <v>32</v>
      </c>
      <c r="B179" t="s">
        <v>31</v>
      </c>
      <c r="C179" t="s">
        <v>18</v>
      </c>
      <c r="D179" t="s">
        <v>45</v>
      </c>
      <c r="E179" t="s">
        <v>15</v>
      </c>
    </row>
    <row r="180" spans="1:5" x14ac:dyDescent="0.35">
      <c r="A180" t="s">
        <v>27</v>
      </c>
    </row>
    <row r="181" spans="1:5" x14ac:dyDescent="0.35">
      <c r="A181" t="s">
        <v>17</v>
      </c>
    </row>
    <row r="182" spans="1:5" x14ac:dyDescent="0.35">
      <c r="A182" t="s">
        <v>59</v>
      </c>
      <c r="B182" t="s">
        <v>15</v>
      </c>
      <c r="C182" t="s">
        <v>21</v>
      </c>
      <c r="D182" t="s">
        <v>20</v>
      </c>
    </row>
    <row r="183" spans="1:5" x14ac:dyDescent="0.35">
      <c r="A183" t="s">
        <v>35</v>
      </c>
      <c r="B183" t="s">
        <v>78</v>
      </c>
      <c r="C183" t="s">
        <v>15</v>
      </c>
    </row>
    <row r="184" spans="1:5" x14ac:dyDescent="0.35">
      <c r="A184" t="s">
        <v>31</v>
      </c>
    </row>
    <row r="185" spans="1:5" x14ac:dyDescent="0.35">
      <c r="A185" t="s">
        <v>59</v>
      </c>
    </row>
    <row r="186" spans="1:5" x14ac:dyDescent="0.35">
      <c r="A186" t="s">
        <v>9</v>
      </c>
      <c r="B186" t="s">
        <v>166</v>
      </c>
      <c r="C186" t="s">
        <v>10</v>
      </c>
      <c r="D186" t="s">
        <v>30</v>
      </c>
      <c r="E186" t="s">
        <v>46</v>
      </c>
    </row>
    <row r="187" spans="1:5" x14ac:dyDescent="0.35">
      <c r="A187" t="s">
        <v>9</v>
      </c>
    </row>
    <row r="188" spans="1:5" x14ac:dyDescent="0.35">
      <c r="A188" t="s">
        <v>35</v>
      </c>
      <c r="B188" t="s">
        <v>91</v>
      </c>
      <c r="C188" t="s">
        <v>29</v>
      </c>
    </row>
    <row r="189" spans="1:5" x14ac:dyDescent="0.35">
      <c r="A189" t="s">
        <v>167</v>
      </c>
    </row>
    <row r="190" spans="1:5" x14ac:dyDescent="0.35">
      <c r="A190" t="s">
        <v>15</v>
      </c>
    </row>
    <row r="191" spans="1:5" x14ac:dyDescent="0.35">
      <c r="A191" t="s">
        <v>91</v>
      </c>
      <c r="B191" t="s">
        <v>35</v>
      </c>
      <c r="C191" t="s">
        <v>168</v>
      </c>
    </row>
    <row r="192" spans="1:5" x14ac:dyDescent="0.35">
      <c r="A192" t="s">
        <v>27</v>
      </c>
      <c r="B192" t="s">
        <v>28</v>
      </c>
      <c r="C192" t="s">
        <v>9</v>
      </c>
      <c r="D192" t="s">
        <v>46</v>
      </c>
      <c r="E192" t="s">
        <v>169</v>
      </c>
    </row>
    <row r="193" spans="1:4" x14ac:dyDescent="0.35">
      <c r="A193" t="s">
        <v>11</v>
      </c>
      <c r="B193" t="s">
        <v>27</v>
      </c>
      <c r="C193" t="s">
        <v>50</v>
      </c>
    </row>
    <row r="194" spans="1:4" x14ac:dyDescent="0.35">
      <c r="A194" t="s">
        <v>11</v>
      </c>
    </row>
    <row r="195" spans="1:4" x14ac:dyDescent="0.35">
      <c r="A195" t="s">
        <v>126</v>
      </c>
    </row>
    <row r="196" spans="1:4" x14ac:dyDescent="0.35">
      <c r="A196" t="s">
        <v>170</v>
      </c>
    </row>
    <row r="197" spans="1:4" x14ac:dyDescent="0.35">
      <c r="A197" t="s">
        <v>171</v>
      </c>
    </row>
    <row r="198" spans="1:4" x14ac:dyDescent="0.35">
      <c r="A198" t="s">
        <v>9</v>
      </c>
    </row>
    <row r="199" spans="1:4" x14ac:dyDescent="0.35">
      <c r="A199" t="s">
        <v>15</v>
      </c>
      <c r="B199" t="s">
        <v>14</v>
      </c>
      <c r="C199" t="s">
        <v>16</v>
      </c>
      <c r="D199" t="s">
        <v>35</v>
      </c>
    </row>
    <row r="200" spans="1:4" x14ac:dyDescent="0.35">
      <c r="A200" t="s">
        <v>15</v>
      </c>
    </row>
    <row r="201" spans="1:4" x14ac:dyDescent="0.35">
      <c r="A201" t="s">
        <v>9</v>
      </c>
      <c r="B201" t="s">
        <v>172</v>
      </c>
      <c r="C201" t="s">
        <v>173</v>
      </c>
    </row>
    <row r="202" spans="1:4" x14ac:dyDescent="0.35">
      <c r="A202" t="s">
        <v>9</v>
      </c>
      <c r="B202" t="s">
        <v>25</v>
      </c>
    </row>
    <row r="203" spans="1:4" x14ac:dyDescent="0.35">
      <c r="A203" t="s">
        <v>27</v>
      </c>
      <c r="B203" t="s">
        <v>9</v>
      </c>
      <c r="C203" t="s">
        <v>57</v>
      </c>
    </row>
    <row r="204" spans="1:4" x14ac:dyDescent="0.35">
      <c r="A204" t="s">
        <v>174</v>
      </c>
      <c r="B204" t="s">
        <v>9</v>
      </c>
      <c r="C204" t="s">
        <v>10</v>
      </c>
    </row>
    <row r="205" spans="1:4" x14ac:dyDescent="0.35">
      <c r="A205" t="s">
        <v>42</v>
      </c>
    </row>
    <row r="206" spans="1:4" x14ac:dyDescent="0.35">
      <c r="A206" t="s">
        <v>175</v>
      </c>
    </row>
    <row r="207" spans="1:4" x14ac:dyDescent="0.35">
      <c r="A207" t="s">
        <v>15</v>
      </c>
      <c r="B207" t="s">
        <v>20</v>
      </c>
      <c r="C207" t="s">
        <v>176</v>
      </c>
    </row>
    <row r="208" spans="1:4" x14ac:dyDescent="0.35">
      <c r="A208" t="s">
        <v>177</v>
      </c>
    </row>
    <row r="209" spans="1:4" x14ac:dyDescent="0.35">
      <c r="A209" t="s">
        <v>27</v>
      </c>
    </row>
    <row r="210" spans="1:4" x14ac:dyDescent="0.35">
      <c r="A210" t="s">
        <v>18</v>
      </c>
      <c r="B210" t="s">
        <v>21</v>
      </c>
      <c r="C210" t="s">
        <v>15</v>
      </c>
    </row>
    <row r="211" spans="1:4" x14ac:dyDescent="0.35">
      <c r="A211" t="s">
        <v>14</v>
      </c>
      <c r="B211" t="s">
        <v>96</v>
      </c>
    </row>
    <row r="212" spans="1:4" x14ac:dyDescent="0.35">
      <c r="A212" t="s">
        <v>178</v>
      </c>
    </row>
    <row r="213" spans="1:4" x14ac:dyDescent="0.35">
      <c r="A213" t="s">
        <v>21</v>
      </c>
      <c r="B213" t="s">
        <v>15</v>
      </c>
      <c r="C213" t="s">
        <v>18</v>
      </c>
      <c r="D213" t="s">
        <v>179</v>
      </c>
    </row>
    <row r="214" spans="1:4" x14ac:dyDescent="0.35">
      <c r="A214" t="s">
        <v>15</v>
      </c>
      <c r="B214" t="s">
        <v>18</v>
      </c>
    </row>
    <row r="215" spans="1:4" x14ac:dyDescent="0.35">
      <c r="A215" t="s">
        <v>9</v>
      </c>
      <c r="B215" t="s">
        <v>26</v>
      </c>
    </row>
    <row r="216" spans="1:4" x14ac:dyDescent="0.35">
      <c r="A216" t="s">
        <v>9</v>
      </c>
      <c r="B216" t="s">
        <v>57</v>
      </c>
      <c r="C216" t="s">
        <v>180</v>
      </c>
      <c r="D216" t="s">
        <v>35</v>
      </c>
    </row>
    <row r="217" spans="1:4" x14ac:dyDescent="0.35">
      <c r="A217" t="s">
        <v>15</v>
      </c>
      <c r="B217" t="s">
        <v>21</v>
      </c>
      <c r="C217" t="s">
        <v>20</v>
      </c>
      <c r="D217" t="s">
        <v>35</v>
      </c>
    </row>
    <row r="218" spans="1:4" x14ac:dyDescent="0.35">
      <c r="A218" t="s">
        <v>181</v>
      </c>
    </row>
    <row r="219" spans="1:4" x14ac:dyDescent="0.35">
      <c r="A219" t="s">
        <v>182</v>
      </c>
    </row>
    <row r="220" spans="1:4" x14ac:dyDescent="0.35">
      <c r="A220" t="s">
        <v>15</v>
      </c>
    </row>
    <row r="221" spans="1:4" x14ac:dyDescent="0.35">
      <c r="A221" t="s">
        <v>15</v>
      </c>
      <c r="B221" t="s">
        <v>20</v>
      </c>
      <c r="C221" t="s">
        <v>21</v>
      </c>
      <c r="D221" t="s">
        <v>183</v>
      </c>
    </row>
    <row r="222" spans="1:4" x14ac:dyDescent="0.35">
      <c r="A222" t="s">
        <v>20</v>
      </c>
      <c r="B222" t="s">
        <v>18</v>
      </c>
      <c r="C222" t="s">
        <v>59</v>
      </c>
    </row>
    <row r="223" spans="1:4" x14ac:dyDescent="0.35">
      <c r="A223" t="s">
        <v>50</v>
      </c>
      <c r="B223" t="s">
        <v>11</v>
      </c>
      <c r="C223" t="s">
        <v>120</v>
      </c>
    </row>
    <row r="224" spans="1:4" x14ac:dyDescent="0.35">
      <c r="A224" t="s">
        <v>102</v>
      </c>
      <c r="B224" t="s">
        <v>27</v>
      </c>
    </row>
    <row r="225" spans="1:6" x14ac:dyDescent="0.35">
      <c r="A225" t="s">
        <v>184</v>
      </c>
    </row>
    <row r="226" spans="1:6" x14ac:dyDescent="0.35">
      <c r="A226" t="s">
        <v>185</v>
      </c>
    </row>
    <row r="227" spans="1:6" x14ac:dyDescent="0.35">
      <c r="A227" t="s">
        <v>27</v>
      </c>
      <c r="B227" t="s">
        <v>29</v>
      </c>
    </row>
    <row r="228" spans="1:6" x14ac:dyDescent="0.35">
      <c r="A228" t="s">
        <v>9</v>
      </c>
    </row>
    <row r="229" spans="1:6" x14ac:dyDescent="0.35">
      <c r="A229" t="s">
        <v>11</v>
      </c>
    </row>
    <row r="230" spans="1:6" x14ac:dyDescent="0.35">
      <c r="A230" t="s">
        <v>186</v>
      </c>
      <c r="B230" t="s">
        <v>187</v>
      </c>
      <c r="C230" t="s">
        <v>35</v>
      </c>
      <c r="D230" t="s">
        <v>188</v>
      </c>
    </row>
    <row r="231" spans="1:6" x14ac:dyDescent="0.35">
      <c r="A231" t="s">
        <v>15</v>
      </c>
      <c r="B231" t="s">
        <v>35</v>
      </c>
      <c r="C231" t="s">
        <v>91</v>
      </c>
      <c r="D231" t="s">
        <v>29</v>
      </c>
    </row>
    <row r="232" spans="1:6" x14ac:dyDescent="0.35">
      <c r="A232" t="s">
        <v>9</v>
      </c>
      <c r="B232" t="s">
        <v>18</v>
      </c>
      <c r="C232" t="s">
        <v>16</v>
      </c>
      <c r="D232" t="s">
        <v>35</v>
      </c>
      <c r="E232" t="s">
        <v>32</v>
      </c>
      <c r="F232" t="s">
        <v>189</v>
      </c>
    </row>
    <row r="233" spans="1:6" x14ac:dyDescent="0.35">
      <c r="A233" t="s">
        <v>32</v>
      </c>
      <c r="B233" t="s">
        <v>35</v>
      </c>
      <c r="C233" t="s">
        <v>38</v>
      </c>
    </row>
    <row r="234" spans="1:6" x14ac:dyDescent="0.35">
      <c r="A234" t="s">
        <v>29</v>
      </c>
      <c r="B234" t="s">
        <v>11</v>
      </c>
    </row>
    <row r="235" spans="1:6" x14ac:dyDescent="0.35">
      <c r="A235" t="s">
        <v>190</v>
      </c>
    </row>
    <row r="236" spans="1:6" x14ac:dyDescent="0.35">
      <c r="A236" t="s">
        <v>35</v>
      </c>
      <c r="B236" t="s">
        <v>78</v>
      </c>
    </row>
    <row r="237" spans="1:6" x14ac:dyDescent="0.35">
      <c r="A237" t="s">
        <v>9</v>
      </c>
      <c r="B237" t="s">
        <v>11</v>
      </c>
      <c r="C237" t="s">
        <v>60</v>
      </c>
      <c r="D237" t="s">
        <v>191</v>
      </c>
    </row>
    <row r="238" spans="1:6" x14ac:dyDescent="0.35">
      <c r="A238" t="s">
        <v>9</v>
      </c>
      <c r="B238" t="s">
        <v>192</v>
      </c>
    </row>
    <row r="239" spans="1:6" x14ac:dyDescent="0.35">
      <c r="A239" t="s">
        <v>9</v>
      </c>
      <c r="B239" t="s">
        <v>13</v>
      </c>
      <c r="C239" t="s">
        <v>193</v>
      </c>
      <c r="D239" t="s">
        <v>42</v>
      </c>
      <c r="E239" t="s">
        <v>65</v>
      </c>
    </row>
    <row r="240" spans="1:6" x14ac:dyDescent="0.35">
      <c r="A240" t="s">
        <v>15</v>
      </c>
      <c r="B240" t="s">
        <v>85</v>
      </c>
    </row>
    <row r="241" spans="1:6" x14ac:dyDescent="0.35">
      <c r="A241" t="s">
        <v>59</v>
      </c>
    </row>
    <row r="242" spans="1:6" x14ac:dyDescent="0.35">
      <c r="A242" t="s">
        <v>35</v>
      </c>
      <c r="B242" t="s">
        <v>31</v>
      </c>
    </row>
    <row r="243" spans="1:6" x14ac:dyDescent="0.35">
      <c r="A243" t="s">
        <v>31</v>
      </c>
      <c r="B243" t="s">
        <v>15</v>
      </c>
      <c r="C243" t="s">
        <v>35</v>
      </c>
      <c r="D243" t="s">
        <v>194</v>
      </c>
    </row>
    <row r="244" spans="1:6" x14ac:dyDescent="0.35">
      <c r="A244" t="s">
        <v>91</v>
      </c>
      <c r="B244" t="s">
        <v>27</v>
      </c>
    </row>
    <row r="245" spans="1:6" x14ac:dyDescent="0.35">
      <c r="A245" t="s">
        <v>10</v>
      </c>
      <c r="B245" t="s">
        <v>9</v>
      </c>
    </row>
    <row r="246" spans="1:6" x14ac:dyDescent="0.35">
      <c r="A246" t="s">
        <v>29</v>
      </c>
      <c r="B246" t="s">
        <v>195</v>
      </c>
      <c r="C246" t="s">
        <v>196</v>
      </c>
      <c r="D246" t="s">
        <v>27</v>
      </c>
      <c r="E246" t="s">
        <v>197</v>
      </c>
    </row>
    <row r="247" spans="1:6" x14ac:dyDescent="0.35">
      <c r="A247" t="s">
        <v>35</v>
      </c>
    </row>
    <row r="248" spans="1:6" x14ac:dyDescent="0.35">
      <c r="A248" t="s">
        <v>18</v>
      </c>
      <c r="B248" t="s">
        <v>15</v>
      </c>
      <c r="C248" t="s">
        <v>198</v>
      </c>
    </row>
    <row r="249" spans="1:6" x14ac:dyDescent="0.35">
      <c r="A249" t="s">
        <v>18</v>
      </c>
      <c r="B249" t="s">
        <v>97</v>
      </c>
    </row>
    <row r="250" spans="1:6" x14ac:dyDescent="0.35">
      <c r="A250" t="s">
        <v>9</v>
      </c>
      <c r="B250" t="s">
        <v>199</v>
      </c>
    </row>
    <row r="251" spans="1:6" x14ac:dyDescent="0.35">
      <c r="A251" t="s">
        <v>24</v>
      </c>
      <c r="B251" t="s">
        <v>35</v>
      </c>
      <c r="C251" t="s">
        <v>32</v>
      </c>
      <c r="D251" t="s">
        <v>86</v>
      </c>
      <c r="E251" t="s">
        <v>15</v>
      </c>
      <c r="F251" t="s">
        <v>18</v>
      </c>
    </row>
    <row r="252" spans="1:6" x14ac:dyDescent="0.35">
      <c r="A252" t="s">
        <v>35</v>
      </c>
      <c r="B252" t="s">
        <v>24</v>
      </c>
    </row>
    <row r="253" spans="1:6" x14ac:dyDescent="0.35">
      <c r="A253" t="s">
        <v>9</v>
      </c>
      <c r="B253" t="s">
        <v>10</v>
      </c>
      <c r="C253" t="s">
        <v>140</v>
      </c>
    </row>
    <row r="254" spans="1:6" x14ac:dyDescent="0.35">
      <c r="A254" t="s">
        <v>200</v>
      </c>
      <c r="B254" t="s">
        <v>27</v>
      </c>
      <c r="C254" t="s">
        <v>85</v>
      </c>
    </row>
    <row r="255" spans="1:6" x14ac:dyDescent="0.35">
      <c r="A255" t="s">
        <v>15</v>
      </c>
      <c r="B255" t="s">
        <v>35</v>
      </c>
      <c r="C255" t="s">
        <v>17</v>
      </c>
    </row>
    <row r="256" spans="1:6" x14ac:dyDescent="0.35">
      <c r="A256" t="s">
        <v>31</v>
      </c>
    </row>
    <row r="257" spans="1:5" x14ac:dyDescent="0.35">
      <c r="A257" t="s">
        <v>37</v>
      </c>
      <c r="B257" t="s">
        <v>15</v>
      </c>
    </row>
    <row r="258" spans="1:5" x14ac:dyDescent="0.35">
      <c r="A258" t="s">
        <v>20</v>
      </c>
      <c r="B258" t="s">
        <v>18</v>
      </c>
      <c r="C258" t="s">
        <v>9</v>
      </c>
      <c r="D258" t="s">
        <v>13</v>
      </c>
      <c r="E258" t="s">
        <v>201</v>
      </c>
    </row>
    <row r="259" spans="1:5" x14ac:dyDescent="0.35">
      <c r="A259" t="s">
        <v>15</v>
      </c>
      <c r="B259" t="s">
        <v>45</v>
      </c>
    </row>
    <row r="260" spans="1:5" x14ac:dyDescent="0.35">
      <c r="A260" t="s">
        <v>35</v>
      </c>
    </row>
    <row r="261" spans="1:5" x14ac:dyDescent="0.35">
      <c r="A261" t="s">
        <v>41</v>
      </c>
      <c r="B261" t="s">
        <v>91</v>
      </c>
      <c r="C261" t="s">
        <v>15</v>
      </c>
      <c r="D261" t="s">
        <v>20</v>
      </c>
      <c r="E261" t="s">
        <v>21</v>
      </c>
    </row>
    <row r="262" spans="1:5" x14ac:dyDescent="0.35">
      <c r="A262" t="s">
        <v>38</v>
      </c>
    </row>
    <row r="263" spans="1:5" x14ac:dyDescent="0.35">
      <c r="A263" t="s">
        <v>202</v>
      </c>
      <c r="B263" t="s">
        <v>203</v>
      </c>
      <c r="C263" t="s">
        <v>204</v>
      </c>
    </row>
    <row r="264" spans="1:5" x14ac:dyDescent="0.35">
      <c r="A264" t="s">
        <v>205</v>
      </c>
    </row>
    <row r="265" spans="1:5" x14ac:dyDescent="0.35">
      <c r="A265" t="s">
        <v>35</v>
      </c>
    </row>
    <row r="266" spans="1:5" x14ac:dyDescent="0.35">
      <c r="A266" t="s">
        <v>34</v>
      </c>
    </row>
    <row r="267" spans="1:5" x14ac:dyDescent="0.35">
      <c r="A267" t="s">
        <v>27</v>
      </c>
      <c r="B267" t="s">
        <v>206</v>
      </c>
    </row>
    <row r="268" spans="1:5" x14ac:dyDescent="0.35">
      <c r="A268" t="s">
        <v>35</v>
      </c>
    </row>
    <row r="269" spans="1:5" x14ac:dyDescent="0.35">
      <c r="A269" t="s">
        <v>35</v>
      </c>
      <c r="B269" t="s">
        <v>38</v>
      </c>
    </row>
    <row r="270" spans="1:5" x14ac:dyDescent="0.35">
      <c r="A270" t="s">
        <v>15</v>
      </c>
      <c r="B270" t="s">
        <v>18</v>
      </c>
    </row>
    <row r="271" spans="1:5" x14ac:dyDescent="0.35">
      <c r="A271" t="s">
        <v>207</v>
      </c>
    </row>
    <row r="272" spans="1:5" x14ac:dyDescent="0.35">
      <c r="A272" t="s">
        <v>29</v>
      </c>
    </row>
    <row r="273" spans="1:4" x14ac:dyDescent="0.35">
      <c r="A273" t="s">
        <v>59</v>
      </c>
    </row>
    <row r="274" spans="1:4" x14ac:dyDescent="0.35">
      <c r="A274" t="s">
        <v>208</v>
      </c>
      <c r="B274" t="s">
        <v>85</v>
      </c>
      <c r="C274" t="s">
        <v>35</v>
      </c>
      <c r="D274" t="s">
        <v>209</v>
      </c>
    </row>
    <row r="275" spans="1:4" x14ac:dyDescent="0.35">
      <c r="A275" t="s">
        <v>27</v>
      </c>
      <c r="B275" t="s">
        <v>29</v>
      </c>
      <c r="C275" t="s">
        <v>195</v>
      </c>
    </row>
    <row r="276" spans="1:4" x14ac:dyDescent="0.35">
      <c r="A276" t="s">
        <v>210</v>
      </c>
      <c r="B276" t="s">
        <v>32</v>
      </c>
      <c r="C276" t="s">
        <v>27</v>
      </c>
    </row>
    <row r="277" spans="1:4" x14ac:dyDescent="0.35">
      <c r="A277" t="s">
        <v>15</v>
      </c>
      <c r="B277" t="s">
        <v>18</v>
      </c>
      <c r="C277" t="s">
        <v>211</v>
      </c>
      <c r="D277" t="s">
        <v>16</v>
      </c>
    </row>
    <row r="278" spans="1:4" x14ac:dyDescent="0.35">
      <c r="A278" t="s">
        <v>212</v>
      </c>
    </row>
    <row r="279" spans="1:4" x14ac:dyDescent="0.35">
      <c r="A279" t="s">
        <v>35</v>
      </c>
      <c r="B279" t="s">
        <v>24</v>
      </c>
      <c r="C279" t="s">
        <v>32</v>
      </c>
    </row>
    <row r="280" spans="1:4" x14ac:dyDescent="0.35">
      <c r="A280" t="s">
        <v>32</v>
      </c>
      <c r="B280" t="s">
        <v>35</v>
      </c>
      <c r="C280" t="s">
        <v>24</v>
      </c>
      <c r="D280" t="s">
        <v>31</v>
      </c>
    </row>
    <row r="281" spans="1:4" x14ac:dyDescent="0.35">
      <c r="A281" t="s">
        <v>114</v>
      </c>
    </row>
    <row r="282" spans="1:4" x14ac:dyDescent="0.35">
      <c r="A282" t="s">
        <v>59</v>
      </c>
      <c r="B282" t="s">
        <v>29</v>
      </c>
    </row>
    <row r="283" spans="1:4" x14ac:dyDescent="0.35">
      <c r="A283" t="s">
        <v>9</v>
      </c>
      <c r="B283" t="s">
        <v>10</v>
      </c>
      <c r="C283" t="s">
        <v>30</v>
      </c>
      <c r="D283" t="s">
        <v>57</v>
      </c>
    </row>
    <row r="284" spans="1:4" x14ac:dyDescent="0.35">
      <c r="A284" t="s">
        <v>35</v>
      </c>
      <c r="B284" t="s">
        <v>15</v>
      </c>
      <c r="C284" t="s">
        <v>30</v>
      </c>
    </row>
    <row r="285" spans="1:4" x14ac:dyDescent="0.35">
      <c r="A285" t="s">
        <v>35</v>
      </c>
      <c r="B285" t="s">
        <v>78</v>
      </c>
    </row>
    <row r="286" spans="1:4" x14ac:dyDescent="0.35">
      <c r="A286" t="s">
        <v>29</v>
      </c>
      <c r="B286" t="s">
        <v>213</v>
      </c>
    </row>
    <row r="287" spans="1:4" x14ac:dyDescent="0.35">
      <c r="A287" t="s">
        <v>214</v>
      </c>
    </row>
    <row r="288" spans="1:4" x14ac:dyDescent="0.35">
      <c r="A288" t="s">
        <v>38</v>
      </c>
      <c r="B288" t="s">
        <v>31</v>
      </c>
    </row>
    <row r="289" spans="1:7" x14ac:dyDescent="0.35">
      <c r="A289" t="s">
        <v>15</v>
      </c>
      <c r="B289" t="s">
        <v>20</v>
      </c>
      <c r="C289" t="s">
        <v>37</v>
      </c>
      <c r="D289" t="s">
        <v>215</v>
      </c>
      <c r="E289" t="s">
        <v>216</v>
      </c>
      <c r="F289" t="s">
        <v>217</v>
      </c>
      <c r="G289" t="s">
        <v>18</v>
      </c>
    </row>
    <row r="290" spans="1:7" x14ac:dyDescent="0.35">
      <c r="A290" t="s">
        <v>218</v>
      </c>
      <c r="B290" t="s">
        <v>42</v>
      </c>
      <c r="C290" t="s">
        <v>219</v>
      </c>
    </row>
    <row r="291" spans="1:7" x14ac:dyDescent="0.35">
      <c r="A291" t="s">
        <v>59</v>
      </c>
      <c r="B291" t="s">
        <v>220</v>
      </c>
    </row>
    <row r="292" spans="1:7" x14ac:dyDescent="0.35">
      <c r="A292" t="s">
        <v>221</v>
      </c>
    </row>
    <row r="293" spans="1:7" x14ac:dyDescent="0.35">
      <c r="A293" t="s">
        <v>31</v>
      </c>
    </row>
    <row r="294" spans="1:7" x14ac:dyDescent="0.35">
      <c r="A294" t="s">
        <v>59</v>
      </c>
    </row>
    <row r="295" spans="1:7" x14ac:dyDescent="0.35">
      <c r="A295" t="s">
        <v>18</v>
      </c>
    </row>
    <row r="296" spans="1:7" x14ac:dyDescent="0.35">
      <c r="A296" t="s">
        <v>10</v>
      </c>
      <c r="B296" t="s">
        <v>9</v>
      </c>
    </row>
    <row r="297" spans="1:7" x14ac:dyDescent="0.35">
      <c r="A297" t="s">
        <v>73</v>
      </c>
      <c r="B297" t="s">
        <v>106</v>
      </c>
    </row>
    <row r="298" spans="1:7" x14ac:dyDescent="0.35">
      <c r="A298" t="s">
        <v>126</v>
      </c>
    </row>
    <row r="299" spans="1:7" x14ac:dyDescent="0.35">
      <c r="A299" t="s">
        <v>86</v>
      </c>
      <c r="B299" t="s">
        <v>27</v>
      </c>
      <c r="C299" t="s">
        <v>126</v>
      </c>
      <c r="D299" t="s">
        <v>9</v>
      </c>
    </row>
    <row r="300" spans="1:7" x14ac:dyDescent="0.35">
      <c r="A300" t="s">
        <v>222</v>
      </c>
    </row>
    <row r="301" spans="1:7" x14ac:dyDescent="0.35">
      <c r="A301" t="s">
        <v>29</v>
      </c>
    </row>
    <row r="302" spans="1:7" x14ac:dyDescent="0.35">
      <c r="A302" t="s">
        <v>27</v>
      </c>
      <c r="B302" t="s">
        <v>11</v>
      </c>
    </row>
    <row r="303" spans="1:7" x14ac:dyDescent="0.35">
      <c r="A303" t="s">
        <v>11</v>
      </c>
      <c r="B303" t="s">
        <v>223</v>
      </c>
    </row>
    <row r="304" spans="1:7" x14ac:dyDescent="0.35">
      <c r="A304" t="s">
        <v>32</v>
      </c>
      <c r="B304" t="s">
        <v>144</v>
      </c>
      <c r="C304" t="s">
        <v>224</v>
      </c>
      <c r="D304" t="s">
        <v>18</v>
      </c>
      <c r="E304" t="s">
        <v>35</v>
      </c>
    </row>
    <row r="305" spans="1:6" x14ac:dyDescent="0.35">
      <c r="A305" t="s">
        <v>80</v>
      </c>
      <c r="B305" t="s">
        <v>27</v>
      </c>
    </row>
    <row r="306" spans="1:6" x14ac:dyDescent="0.35">
      <c r="A306" t="s">
        <v>35</v>
      </c>
    </row>
    <row r="307" spans="1:6" x14ac:dyDescent="0.35">
      <c r="A307" t="s">
        <v>29</v>
      </c>
      <c r="B307" t="s">
        <v>27</v>
      </c>
      <c r="C307" t="s">
        <v>91</v>
      </c>
      <c r="D307" t="s">
        <v>9</v>
      </c>
      <c r="E307" t="s">
        <v>225</v>
      </c>
    </row>
    <row r="308" spans="1:6" x14ac:dyDescent="0.35">
      <c r="A308" t="s">
        <v>75</v>
      </c>
    </row>
    <row r="309" spans="1:6" x14ac:dyDescent="0.35">
      <c r="A309" t="s">
        <v>29</v>
      </c>
      <c r="B309" t="s">
        <v>27</v>
      </c>
      <c r="C309" t="s">
        <v>28</v>
      </c>
    </row>
    <row r="310" spans="1:6" x14ac:dyDescent="0.35">
      <c r="A310" t="s">
        <v>15</v>
      </c>
    </row>
    <row r="311" spans="1:6" x14ac:dyDescent="0.35">
      <c r="A311" t="s">
        <v>27</v>
      </c>
      <c r="B311" t="s">
        <v>226</v>
      </c>
      <c r="C311" t="s">
        <v>227</v>
      </c>
      <c r="D311" t="s">
        <v>121</v>
      </c>
    </row>
    <row r="312" spans="1:6" x14ac:dyDescent="0.35">
      <c r="A312" t="s">
        <v>28</v>
      </c>
      <c r="B312" t="s">
        <v>27</v>
      </c>
    </row>
    <row r="313" spans="1:6" x14ac:dyDescent="0.35">
      <c r="A313" t="s">
        <v>32</v>
      </c>
    </row>
    <row r="314" spans="1:6" x14ac:dyDescent="0.35">
      <c r="A314" t="s">
        <v>228</v>
      </c>
    </row>
    <row r="315" spans="1:6" x14ac:dyDescent="0.35">
      <c r="A315" t="s">
        <v>27</v>
      </c>
      <c r="B315" t="s">
        <v>168</v>
      </c>
    </row>
    <row r="316" spans="1:6" x14ac:dyDescent="0.35">
      <c r="A316" t="s">
        <v>11</v>
      </c>
      <c r="B316" t="s">
        <v>27</v>
      </c>
      <c r="C316" t="s">
        <v>29</v>
      </c>
    </row>
    <row r="317" spans="1:6" x14ac:dyDescent="0.35">
      <c r="A317" t="s">
        <v>27</v>
      </c>
    </row>
    <row r="318" spans="1:6" x14ac:dyDescent="0.35">
      <c r="A318" t="s">
        <v>229</v>
      </c>
    </row>
    <row r="319" spans="1:6" x14ac:dyDescent="0.35">
      <c r="A319" t="s">
        <v>10</v>
      </c>
      <c r="B319" t="s">
        <v>25</v>
      </c>
      <c r="C319" t="s">
        <v>9</v>
      </c>
      <c r="D319" t="s">
        <v>166</v>
      </c>
      <c r="E319" t="s">
        <v>83</v>
      </c>
      <c r="F319" t="s">
        <v>68</v>
      </c>
    </row>
    <row r="320" spans="1:6" x14ac:dyDescent="0.35">
      <c r="A320" t="s">
        <v>122</v>
      </c>
    </row>
    <row r="321" spans="1:7" x14ac:dyDescent="0.35">
      <c r="A321" t="s">
        <v>31</v>
      </c>
      <c r="B321" t="s">
        <v>27</v>
      </c>
      <c r="C321" t="s">
        <v>180</v>
      </c>
      <c r="D321" t="s">
        <v>15</v>
      </c>
      <c r="E321" t="s">
        <v>230</v>
      </c>
      <c r="F321" t="s">
        <v>46</v>
      </c>
      <c r="G321" t="s">
        <v>231</v>
      </c>
    </row>
    <row r="322" spans="1:7" x14ac:dyDescent="0.35">
      <c r="A322" t="s">
        <v>31</v>
      </c>
    </row>
    <row r="323" spans="1:7" x14ac:dyDescent="0.35">
      <c r="A323" t="s">
        <v>35</v>
      </c>
      <c r="B323" t="s">
        <v>32</v>
      </c>
      <c r="C323" t="s">
        <v>24</v>
      </c>
    </row>
    <row r="324" spans="1:7" x14ac:dyDescent="0.35">
      <c r="A324" t="s">
        <v>15</v>
      </c>
      <c r="B324" t="s">
        <v>20</v>
      </c>
      <c r="C324" t="s">
        <v>232</v>
      </c>
      <c r="D324" t="s">
        <v>18</v>
      </c>
      <c r="E324" t="s">
        <v>224</v>
      </c>
    </row>
    <row r="325" spans="1:7" x14ac:dyDescent="0.35">
      <c r="A325" t="s">
        <v>29</v>
      </c>
      <c r="B325" t="s">
        <v>27</v>
      </c>
      <c r="C325" t="s">
        <v>11</v>
      </c>
      <c r="D325" t="s">
        <v>156</v>
      </c>
      <c r="E325" t="s">
        <v>233</v>
      </c>
    </row>
    <row r="326" spans="1:7" x14ac:dyDescent="0.35">
      <c r="A326" t="s">
        <v>234</v>
      </c>
      <c r="B326" t="s">
        <v>18</v>
      </c>
    </row>
    <row r="327" spans="1:7" x14ac:dyDescent="0.35">
      <c r="A327" t="s">
        <v>32</v>
      </c>
      <c r="B327" t="s">
        <v>15</v>
      </c>
      <c r="C327" t="s">
        <v>21</v>
      </c>
    </row>
    <row r="328" spans="1:7" x14ac:dyDescent="0.35">
      <c r="A328" t="s">
        <v>235</v>
      </c>
      <c r="B328" t="s">
        <v>236</v>
      </c>
    </row>
    <row r="329" spans="1:7" x14ac:dyDescent="0.35">
      <c r="A329" t="s">
        <v>9</v>
      </c>
      <c r="B329" t="s">
        <v>126</v>
      </c>
      <c r="C329" t="s">
        <v>83</v>
      </c>
      <c r="D329" t="s">
        <v>60</v>
      </c>
    </row>
    <row r="330" spans="1:7" x14ac:dyDescent="0.35">
      <c r="A330" t="s">
        <v>37</v>
      </c>
      <c r="B330" t="s">
        <v>32</v>
      </c>
      <c r="C330" t="s">
        <v>35</v>
      </c>
    </row>
    <row r="331" spans="1:7" x14ac:dyDescent="0.35">
      <c r="A331" t="s">
        <v>35</v>
      </c>
      <c r="B331" t="s">
        <v>11</v>
      </c>
    </row>
    <row r="332" spans="1:7" x14ac:dyDescent="0.35">
      <c r="A332" t="s">
        <v>237</v>
      </c>
    </row>
    <row r="333" spans="1:7" x14ac:dyDescent="0.35">
      <c r="A333" t="s">
        <v>238</v>
      </c>
    </row>
    <row r="334" spans="1:7" x14ac:dyDescent="0.35">
      <c r="A334" t="s">
        <v>15</v>
      </c>
      <c r="B334" t="s">
        <v>239</v>
      </c>
    </row>
    <row r="335" spans="1:7" x14ac:dyDescent="0.35">
      <c r="A335" t="s">
        <v>32</v>
      </c>
      <c r="B335" t="s">
        <v>35</v>
      </c>
      <c r="C335" t="s">
        <v>24</v>
      </c>
      <c r="D335" t="s">
        <v>31</v>
      </c>
      <c r="E335" t="s">
        <v>18</v>
      </c>
    </row>
    <row r="336" spans="1:7" x14ac:dyDescent="0.35">
      <c r="A336" t="s">
        <v>15</v>
      </c>
    </row>
    <row r="337" spans="1:4" x14ac:dyDescent="0.35">
      <c r="A337" t="s">
        <v>80</v>
      </c>
      <c r="B337" t="s">
        <v>35</v>
      </c>
    </row>
    <row r="338" spans="1:4" x14ac:dyDescent="0.35">
      <c r="A338" t="s">
        <v>9</v>
      </c>
      <c r="B338" t="s">
        <v>20</v>
      </c>
    </row>
    <row r="339" spans="1:4" x14ac:dyDescent="0.35">
      <c r="A339" t="s">
        <v>35</v>
      </c>
    </row>
    <row r="340" spans="1:4" x14ac:dyDescent="0.35">
      <c r="A340" t="s">
        <v>240</v>
      </c>
      <c r="B340" t="s">
        <v>78</v>
      </c>
      <c r="C340" t="s">
        <v>32</v>
      </c>
      <c r="D340" t="s">
        <v>35</v>
      </c>
    </row>
    <row r="341" spans="1:4" x14ac:dyDescent="0.35">
      <c r="A341" t="s">
        <v>241</v>
      </c>
    </row>
    <row r="342" spans="1:4" x14ac:dyDescent="0.35">
      <c r="A342" t="s">
        <v>11</v>
      </c>
      <c r="B342" t="s">
        <v>9</v>
      </c>
    </row>
    <row r="343" spans="1:4" x14ac:dyDescent="0.35">
      <c r="A343" t="s">
        <v>242</v>
      </c>
    </row>
    <row r="344" spans="1:4" x14ac:dyDescent="0.35">
      <c r="A344" t="s">
        <v>15</v>
      </c>
    </row>
    <row r="345" spans="1:4" x14ac:dyDescent="0.35">
      <c r="A345" t="s">
        <v>14</v>
      </c>
    </row>
    <row r="346" spans="1:4" x14ac:dyDescent="0.35">
      <c r="A346" t="s">
        <v>120</v>
      </c>
    </row>
    <row r="347" spans="1:4" x14ac:dyDescent="0.35">
      <c r="A347" t="s">
        <v>35</v>
      </c>
    </row>
    <row r="348" spans="1:4" x14ac:dyDescent="0.35">
      <c r="A348" t="s">
        <v>9</v>
      </c>
      <c r="B348" t="s">
        <v>20</v>
      </c>
    </row>
    <row r="349" spans="1:4" x14ac:dyDescent="0.35">
      <c r="A349" t="s">
        <v>18</v>
      </c>
      <c r="B349" t="s">
        <v>15</v>
      </c>
    </row>
    <row r="350" spans="1:4" x14ac:dyDescent="0.35">
      <c r="A350" t="s">
        <v>35</v>
      </c>
      <c r="B350" t="s">
        <v>31</v>
      </c>
      <c r="C350" t="s">
        <v>18</v>
      </c>
    </row>
    <row r="351" spans="1:4" x14ac:dyDescent="0.35">
      <c r="A351" t="s">
        <v>243</v>
      </c>
    </row>
    <row r="352" spans="1:4" x14ac:dyDescent="0.35">
      <c r="A352" t="s">
        <v>34</v>
      </c>
      <c r="B352" t="s">
        <v>31</v>
      </c>
      <c r="C352" t="s">
        <v>37</v>
      </c>
    </row>
    <row r="353" spans="1:5" x14ac:dyDescent="0.35">
      <c r="A353" t="s">
        <v>15</v>
      </c>
      <c r="B353" t="s">
        <v>31</v>
      </c>
      <c r="C353" t="s">
        <v>91</v>
      </c>
    </row>
    <row r="354" spans="1:5" x14ac:dyDescent="0.35">
      <c r="A354" t="s">
        <v>31</v>
      </c>
      <c r="B354" t="s">
        <v>15</v>
      </c>
      <c r="C354" t="s">
        <v>59</v>
      </c>
    </row>
    <row r="355" spans="1:5" x14ac:dyDescent="0.35">
      <c r="A355" t="s">
        <v>244</v>
      </c>
    </row>
    <row r="356" spans="1:5" x14ac:dyDescent="0.35">
      <c r="A356" t="s">
        <v>35</v>
      </c>
      <c r="B356" t="s">
        <v>96</v>
      </c>
      <c r="C356" t="s">
        <v>15</v>
      </c>
      <c r="D356" t="s">
        <v>245</v>
      </c>
      <c r="E356" t="s">
        <v>246</v>
      </c>
    </row>
    <row r="357" spans="1:5" x14ac:dyDescent="0.35">
      <c r="A357" t="s">
        <v>9</v>
      </c>
    </row>
    <row r="358" spans="1:5" x14ac:dyDescent="0.35">
      <c r="A358" t="s">
        <v>38</v>
      </c>
      <c r="B358" t="s">
        <v>31</v>
      </c>
    </row>
    <row r="359" spans="1:5" x14ac:dyDescent="0.35">
      <c r="A359" t="s">
        <v>9</v>
      </c>
      <c r="B359" t="s">
        <v>10</v>
      </c>
    </row>
    <row r="360" spans="1:5" x14ac:dyDescent="0.35">
      <c r="A360" t="s">
        <v>27</v>
      </c>
    </row>
    <row r="361" spans="1:5" x14ac:dyDescent="0.35">
      <c r="A361" t="s">
        <v>60</v>
      </c>
    </row>
    <row r="362" spans="1:5" x14ac:dyDescent="0.35">
      <c r="A362" t="s">
        <v>57</v>
      </c>
    </row>
    <row r="363" spans="1:5" x14ac:dyDescent="0.35">
      <c r="A363" t="s">
        <v>120</v>
      </c>
      <c r="B363" t="s">
        <v>247</v>
      </c>
    </row>
    <row r="364" spans="1:5" x14ac:dyDescent="0.35">
      <c r="A364" t="s">
        <v>10</v>
      </c>
      <c r="B364" t="s">
        <v>9</v>
      </c>
    </row>
    <row r="365" spans="1:5" x14ac:dyDescent="0.35">
      <c r="A365" t="s">
        <v>248</v>
      </c>
      <c r="B365" t="s">
        <v>57</v>
      </c>
    </row>
    <row r="366" spans="1:5" x14ac:dyDescent="0.35">
      <c r="A366" t="s">
        <v>9</v>
      </c>
    </row>
    <row r="367" spans="1:5" x14ac:dyDescent="0.35">
      <c r="A367" t="s">
        <v>249</v>
      </c>
    </row>
    <row r="368" spans="1:5" x14ac:dyDescent="0.35">
      <c r="A368" t="s">
        <v>15</v>
      </c>
      <c r="B368" t="s">
        <v>20</v>
      </c>
    </row>
    <row r="369" spans="1:7" x14ac:dyDescent="0.35">
      <c r="A369" t="s">
        <v>9</v>
      </c>
      <c r="B369" t="s">
        <v>12</v>
      </c>
    </row>
    <row r="370" spans="1:7" x14ac:dyDescent="0.35">
      <c r="A370" t="s">
        <v>27</v>
      </c>
    </row>
    <row r="371" spans="1:7" x14ac:dyDescent="0.35">
      <c r="A371" t="s">
        <v>106</v>
      </c>
      <c r="B371" t="s">
        <v>27</v>
      </c>
      <c r="C371" t="s">
        <v>81</v>
      </c>
      <c r="D371" t="s">
        <v>120</v>
      </c>
    </row>
    <row r="372" spans="1:7" x14ac:dyDescent="0.35">
      <c r="A372" t="s">
        <v>29</v>
      </c>
    </row>
    <row r="373" spans="1:7" x14ac:dyDescent="0.35">
      <c r="A373" t="s">
        <v>9</v>
      </c>
    </row>
    <row r="374" spans="1:7" x14ac:dyDescent="0.35">
      <c r="A374" t="s">
        <v>250</v>
      </c>
      <c r="B374" t="s">
        <v>27</v>
      </c>
      <c r="C374" t="s">
        <v>9</v>
      </c>
    </row>
    <row r="375" spans="1:7" x14ac:dyDescent="0.35">
      <c r="A375" t="s">
        <v>251</v>
      </c>
      <c r="B375" t="s">
        <v>252</v>
      </c>
    </row>
    <row r="376" spans="1:7" x14ac:dyDescent="0.35">
      <c r="A376" t="s">
        <v>25</v>
      </c>
      <c r="B376" t="s">
        <v>253</v>
      </c>
    </row>
    <row r="377" spans="1:7" x14ac:dyDescent="0.35">
      <c r="A377" t="s">
        <v>35</v>
      </c>
    </row>
    <row r="378" spans="1:7" x14ac:dyDescent="0.35">
      <c r="A378" t="s">
        <v>9</v>
      </c>
      <c r="B378" t="s">
        <v>232</v>
      </c>
    </row>
    <row r="379" spans="1:7" x14ac:dyDescent="0.35">
      <c r="A379" t="s">
        <v>254</v>
      </c>
      <c r="B379" t="s">
        <v>32</v>
      </c>
      <c r="C379" t="s">
        <v>27</v>
      </c>
      <c r="D379" t="s">
        <v>15</v>
      </c>
      <c r="E379" t="s">
        <v>18</v>
      </c>
      <c r="F379" t="s">
        <v>111</v>
      </c>
      <c r="G379" t="s">
        <v>230</v>
      </c>
    </row>
    <row r="380" spans="1:7" x14ac:dyDescent="0.35">
      <c r="A380" t="s">
        <v>27</v>
      </c>
      <c r="B380" t="s">
        <v>9</v>
      </c>
      <c r="C380" t="s">
        <v>13</v>
      </c>
      <c r="D380" t="s">
        <v>57</v>
      </c>
      <c r="E380" t="s">
        <v>10</v>
      </c>
    </row>
    <row r="381" spans="1:7" x14ac:dyDescent="0.35">
      <c r="A381" t="s">
        <v>42</v>
      </c>
    </row>
    <row r="382" spans="1:7" x14ac:dyDescent="0.35">
      <c r="A382" t="s">
        <v>255</v>
      </c>
      <c r="B382" t="s">
        <v>27</v>
      </c>
    </row>
    <row r="383" spans="1:7" x14ac:dyDescent="0.35">
      <c r="A383" t="s">
        <v>59</v>
      </c>
      <c r="B383" t="s">
        <v>234</v>
      </c>
      <c r="C383" t="s">
        <v>91</v>
      </c>
    </row>
    <row r="384" spans="1:7" x14ac:dyDescent="0.35">
      <c r="A384" t="s">
        <v>80</v>
      </c>
      <c r="B384" t="s">
        <v>27</v>
      </c>
      <c r="C384" t="s">
        <v>256</v>
      </c>
      <c r="D384" t="s">
        <v>156</v>
      </c>
    </row>
    <row r="385" spans="1:6" x14ac:dyDescent="0.35">
      <c r="A385" t="s">
        <v>240</v>
      </c>
    </row>
    <row r="386" spans="1:6" x14ac:dyDescent="0.35">
      <c r="A386" t="s">
        <v>85</v>
      </c>
    </row>
    <row r="387" spans="1:6" x14ac:dyDescent="0.35">
      <c r="A387" t="s">
        <v>15</v>
      </c>
      <c r="B387" t="s">
        <v>257</v>
      </c>
    </row>
    <row r="388" spans="1:6" x14ac:dyDescent="0.35">
      <c r="A388" t="s">
        <v>9</v>
      </c>
      <c r="B388" t="s">
        <v>13</v>
      </c>
      <c r="C388" t="s">
        <v>258</v>
      </c>
      <c r="D388" t="s">
        <v>57</v>
      </c>
    </row>
    <row r="389" spans="1:6" x14ac:dyDescent="0.35">
      <c r="A389" t="s">
        <v>259</v>
      </c>
    </row>
    <row r="390" spans="1:6" x14ac:dyDescent="0.35">
      <c r="A390" t="s">
        <v>15</v>
      </c>
      <c r="B390" t="s">
        <v>230</v>
      </c>
      <c r="C390" t="s">
        <v>260</v>
      </c>
      <c r="D390" t="s">
        <v>18</v>
      </c>
    </row>
    <row r="391" spans="1:6" x14ac:dyDescent="0.35">
      <c r="A391" t="s">
        <v>15</v>
      </c>
      <c r="B391" t="s">
        <v>261</v>
      </c>
      <c r="C391" t="s">
        <v>16</v>
      </c>
      <c r="D391" t="s">
        <v>262</v>
      </c>
      <c r="E391" t="s">
        <v>18</v>
      </c>
      <c r="F391" t="s">
        <v>263</v>
      </c>
    </row>
    <row r="392" spans="1:6" x14ac:dyDescent="0.35">
      <c r="A392" t="s">
        <v>113</v>
      </c>
      <c r="B392" t="s">
        <v>32</v>
      </c>
      <c r="C392" t="s">
        <v>38</v>
      </c>
    </row>
    <row r="393" spans="1:6" x14ac:dyDescent="0.35">
      <c r="A393" t="s">
        <v>264</v>
      </c>
    </row>
    <row r="394" spans="1:6" x14ac:dyDescent="0.35">
      <c r="A394" t="s">
        <v>15</v>
      </c>
      <c r="B394" t="s">
        <v>44</v>
      </c>
      <c r="C394" t="s">
        <v>232</v>
      </c>
      <c r="D394" t="s">
        <v>21</v>
      </c>
    </row>
    <row r="395" spans="1:6" x14ac:dyDescent="0.35">
      <c r="A395" t="s">
        <v>9</v>
      </c>
      <c r="B395" t="s">
        <v>10</v>
      </c>
    </row>
    <row r="396" spans="1:6" x14ac:dyDescent="0.35">
      <c r="A396" t="s">
        <v>15</v>
      </c>
      <c r="B396" t="s">
        <v>13</v>
      </c>
      <c r="C396" t="s">
        <v>57</v>
      </c>
    </row>
    <row r="397" spans="1:6" x14ac:dyDescent="0.35">
      <c r="A397" t="s">
        <v>31</v>
      </c>
      <c r="B397" t="s">
        <v>35</v>
      </c>
    </row>
    <row r="398" spans="1:6" x14ac:dyDescent="0.35">
      <c r="A398" t="s">
        <v>10</v>
      </c>
      <c r="B398" t="s">
        <v>9</v>
      </c>
      <c r="C398" t="s">
        <v>265</v>
      </c>
      <c r="D398" t="s">
        <v>266</v>
      </c>
    </row>
    <row r="399" spans="1:6" x14ac:dyDescent="0.35">
      <c r="A399" t="s">
        <v>130</v>
      </c>
      <c r="B399" t="s">
        <v>9</v>
      </c>
      <c r="C399" t="s">
        <v>267</v>
      </c>
      <c r="D399" t="s">
        <v>268</v>
      </c>
      <c r="E399" t="s">
        <v>30</v>
      </c>
      <c r="F399" t="s">
        <v>10</v>
      </c>
    </row>
    <row r="400" spans="1:6" x14ac:dyDescent="0.35">
      <c r="A400" t="s">
        <v>15</v>
      </c>
      <c r="B400" t="s">
        <v>57</v>
      </c>
    </row>
    <row r="401" spans="1:7" x14ac:dyDescent="0.35">
      <c r="A401" t="s">
        <v>80</v>
      </c>
      <c r="B401" t="s">
        <v>27</v>
      </c>
      <c r="C401" t="s">
        <v>14</v>
      </c>
      <c r="D401" t="s">
        <v>31</v>
      </c>
    </row>
    <row r="402" spans="1:7" x14ac:dyDescent="0.35">
      <c r="A402" t="s">
        <v>18</v>
      </c>
      <c r="B402" t="s">
        <v>269</v>
      </c>
    </row>
    <row r="403" spans="1:7" x14ac:dyDescent="0.35">
      <c r="A403" t="s">
        <v>9</v>
      </c>
      <c r="B403" t="s">
        <v>57</v>
      </c>
      <c r="C403" t="s">
        <v>75</v>
      </c>
      <c r="D403" t="s">
        <v>30</v>
      </c>
    </row>
    <row r="404" spans="1:7" x14ac:dyDescent="0.35">
      <c r="A404" t="s">
        <v>40</v>
      </c>
      <c r="B404" t="s">
        <v>35</v>
      </c>
    </row>
    <row r="405" spans="1:7" x14ac:dyDescent="0.35">
      <c r="A405" t="s">
        <v>9</v>
      </c>
      <c r="B405" t="s">
        <v>18</v>
      </c>
      <c r="C405" t="s">
        <v>57</v>
      </c>
      <c r="D405" t="s">
        <v>140</v>
      </c>
      <c r="E405" t="s">
        <v>141</v>
      </c>
    </row>
    <row r="406" spans="1:7" x14ac:dyDescent="0.35">
      <c r="A406" t="s">
        <v>18</v>
      </c>
      <c r="B406" t="s">
        <v>9</v>
      </c>
      <c r="C406" t="s">
        <v>21</v>
      </c>
      <c r="D406" t="s">
        <v>270</v>
      </c>
      <c r="E406" t="s">
        <v>271</v>
      </c>
    </row>
    <row r="407" spans="1:7" x14ac:dyDescent="0.35">
      <c r="A407" t="s">
        <v>9</v>
      </c>
      <c r="B407" t="s">
        <v>141</v>
      </c>
      <c r="C407" t="s">
        <v>140</v>
      </c>
      <c r="D407" t="s">
        <v>131</v>
      </c>
      <c r="E407" t="s">
        <v>13</v>
      </c>
      <c r="F407" t="s">
        <v>57</v>
      </c>
    </row>
    <row r="408" spans="1:7" x14ac:dyDescent="0.35">
      <c r="A408" t="s">
        <v>272</v>
      </c>
      <c r="B408" t="s">
        <v>124</v>
      </c>
      <c r="C408" t="s">
        <v>273</v>
      </c>
    </row>
    <row r="409" spans="1:7" x14ac:dyDescent="0.35">
      <c r="A409" t="s">
        <v>9</v>
      </c>
    </row>
    <row r="410" spans="1:7" x14ac:dyDescent="0.35">
      <c r="A410" t="s">
        <v>274</v>
      </c>
      <c r="B410" t="s">
        <v>94</v>
      </c>
    </row>
    <row r="411" spans="1:7" x14ac:dyDescent="0.35">
      <c r="A411" t="s">
        <v>27</v>
      </c>
    </row>
    <row r="412" spans="1:7" x14ac:dyDescent="0.35">
      <c r="A412" t="s">
        <v>31</v>
      </c>
      <c r="B412" t="s">
        <v>59</v>
      </c>
      <c r="C412" t="s">
        <v>32</v>
      </c>
      <c r="D412" t="s">
        <v>15</v>
      </c>
      <c r="E412" t="s">
        <v>17</v>
      </c>
    </row>
    <row r="413" spans="1:7" x14ac:dyDescent="0.35">
      <c r="A413" t="s">
        <v>35</v>
      </c>
    </row>
    <row r="414" spans="1:7" x14ac:dyDescent="0.35">
      <c r="A414" t="s">
        <v>29</v>
      </c>
      <c r="B414" t="s">
        <v>35</v>
      </c>
      <c r="C414" t="s">
        <v>78</v>
      </c>
      <c r="D414" t="s">
        <v>14</v>
      </c>
      <c r="E414" t="s">
        <v>31</v>
      </c>
      <c r="F414" t="s">
        <v>15</v>
      </c>
      <c r="G414" t="s">
        <v>21</v>
      </c>
    </row>
    <row r="415" spans="1:7" x14ac:dyDescent="0.35">
      <c r="A415" t="s">
        <v>161</v>
      </c>
    </row>
    <row r="416" spans="1:7" x14ac:dyDescent="0.35">
      <c r="A416" t="s">
        <v>15</v>
      </c>
      <c r="B416" t="s">
        <v>13</v>
      </c>
    </row>
    <row r="417" spans="1:3" x14ac:dyDescent="0.35">
      <c r="A417" t="s">
        <v>15</v>
      </c>
      <c r="B417" t="s">
        <v>18</v>
      </c>
    </row>
    <row r="418" spans="1:3" x14ac:dyDescent="0.35">
      <c r="A418" t="s">
        <v>275</v>
      </c>
      <c r="B418" t="s">
        <v>94</v>
      </c>
      <c r="C418" t="s">
        <v>11</v>
      </c>
    </row>
    <row r="419" spans="1:3" x14ac:dyDescent="0.35">
      <c r="A419" t="s">
        <v>10</v>
      </c>
      <c r="B419" t="s">
        <v>9</v>
      </c>
      <c r="C419" t="s">
        <v>57</v>
      </c>
    </row>
    <row r="420" spans="1:3" x14ac:dyDescent="0.35">
      <c r="A420" t="s">
        <v>85</v>
      </c>
      <c r="B420" t="s">
        <v>35</v>
      </c>
    </row>
    <row r="421" spans="1:3" x14ac:dyDescent="0.35">
      <c r="A421" t="s">
        <v>276</v>
      </c>
      <c r="B421" t="s">
        <v>277</v>
      </c>
      <c r="C421" t="s">
        <v>278</v>
      </c>
    </row>
    <row r="422" spans="1:3" x14ac:dyDescent="0.35">
      <c r="A422" t="s">
        <v>29</v>
      </c>
      <c r="B422" t="s">
        <v>27</v>
      </c>
      <c r="C422" t="s">
        <v>195</v>
      </c>
    </row>
    <row r="423" spans="1:3" x14ac:dyDescent="0.35">
      <c r="A423" t="s">
        <v>35</v>
      </c>
    </row>
    <row r="424" spans="1:3" x14ac:dyDescent="0.35">
      <c r="A424" t="s">
        <v>86</v>
      </c>
    </row>
    <row r="425" spans="1:3" x14ac:dyDescent="0.35">
      <c r="A425" t="s">
        <v>279</v>
      </c>
    </row>
    <row r="426" spans="1:3" x14ac:dyDescent="0.35">
      <c r="A426" t="s">
        <v>28</v>
      </c>
      <c r="B426" t="s">
        <v>27</v>
      </c>
      <c r="C426" t="s">
        <v>280</v>
      </c>
    </row>
    <row r="427" spans="1:3" x14ac:dyDescent="0.35">
      <c r="A427" t="s">
        <v>35</v>
      </c>
      <c r="B427" t="s">
        <v>14</v>
      </c>
      <c r="C427" t="s">
        <v>281</v>
      </c>
    </row>
    <row r="428" spans="1:3" x14ac:dyDescent="0.35">
      <c r="A428" t="s">
        <v>35</v>
      </c>
      <c r="B428" t="s">
        <v>282</v>
      </c>
    </row>
    <row r="429" spans="1:3" x14ac:dyDescent="0.35">
      <c r="A429" t="s">
        <v>31</v>
      </c>
      <c r="B429" t="s">
        <v>20</v>
      </c>
    </row>
    <row r="430" spans="1:3" x14ac:dyDescent="0.35">
      <c r="A430" t="s">
        <v>11</v>
      </c>
      <c r="B430" t="s">
        <v>27</v>
      </c>
      <c r="C430" t="s">
        <v>29</v>
      </c>
    </row>
    <row r="431" spans="1:3" x14ac:dyDescent="0.35">
      <c r="A431" t="s">
        <v>9</v>
      </c>
    </row>
    <row r="432" spans="1:3" x14ac:dyDescent="0.35">
      <c r="A432" t="s">
        <v>38</v>
      </c>
      <c r="B432" t="s">
        <v>42</v>
      </c>
      <c r="C432" t="s">
        <v>283</v>
      </c>
    </row>
    <row r="433" spans="1:5" x14ac:dyDescent="0.35">
      <c r="A433" t="s">
        <v>31</v>
      </c>
      <c r="B433" t="s">
        <v>38</v>
      </c>
    </row>
    <row r="434" spans="1:5" x14ac:dyDescent="0.35">
      <c r="A434" t="s">
        <v>25</v>
      </c>
      <c r="B434" t="s">
        <v>71</v>
      </c>
      <c r="C434" t="s">
        <v>284</v>
      </c>
    </row>
    <row r="435" spans="1:5" x14ac:dyDescent="0.35">
      <c r="A435" t="s">
        <v>27</v>
      </c>
      <c r="B435" t="s">
        <v>285</v>
      </c>
      <c r="C435" t="s">
        <v>11</v>
      </c>
      <c r="D435" t="s">
        <v>102</v>
      </c>
      <c r="E435" t="s">
        <v>29</v>
      </c>
    </row>
    <row r="436" spans="1:5" x14ac:dyDescent="0.35">
      <c r="A436" t="s">
        <v>27</v>
      </c>
      <c r="B436" t="s">
        <v>29</v>
      </c>
      <c r="C436" t="s">
        <v>10</v>
      </c>
    </row>
    <row r="437" spans="1:5" x14ac:dyDescent="0.35">
      <c r="A437" t="s">
        <v>18</v>
      </c>
    </row>
    <row r="438" spans="1:5" x14ac:dyDescent="0.35">
      <c r="A438" t="s">
        <v>286</v>
      </c>
      <c r="B438" t="s">
        <v>287</v>
      </c>
    </row>
    <row r="439" spans="1:5" x14ac:dyDescent="0.35">
      <c r="A439" t="s">
        <v>18</v>
      </c>
    </row>
    <row r="440" spans="1:5" x14ac:dyDescent="0.35">
      <c r="A440" t="s">
        <v>288</v>
      </c>
      <c r="B440" t="s">
        <v>35</v>
      </c>
      <c r="C440" t="s">
        <v>38</v>
      </c>
    </row>
    <row r="441" spans="1:5" x14ac:dyDescent="0.35">
      <c r="A441" t="s">
        <v>289</v>
      </c>
    </row>
    <row r="442" spans="1:5" x14ac:dyDescent="0.35">
      <c r="A442" t="s">
        <v>15</v>
      </c>
    </row>
    <row r="443" spans="1:5" x14ac:dyDescent="0.35">
      <c r="A443" t="s">
        <v>156</v>
      </c>
    </row>
    <row r="444" spans="1:5" x14ac:dyDescent="0.35">
      <c r="A444" t="s">
        <v>10</v>
      </c>
      <c r="B444" t="s">
        <v>27</v>
      </c>
      <c r="C444" t="s">
        <v>290</v>
      </c>
    </row>
    <row r="445" spans="1:5" x14ac:dyDescent="0.35">
      <c r="A445" t="s">
        <v>32</v>
      </c>
      <c r="B445" t="s">
        <v>291</v>
      </c>
      <c r="C445" t="s">
        <v>126</v>
      </c>
    </row>
    <row r="446" spans="1:5" x14ac:dyDescent="0.35">
      <c r="A446" t="s">
        <v>120</v>
      </c>
    </row>
    <row r="447" spans="1:5" x14ac:dyDescent="0.35">
      <c r="A447" t="s">
        <v>38</v>
      </c>
    </row>
    <row r="448" spans="1:5" x14ac:dyDescent="0.35">
      <c r="A448" t="s">
        <v>292</v>
      </c>
    </row>
    <row r="449" spans="1:6" x14ac:dyDescent="0.35">
      <c r="A449" t="s">
        <v>293</v>
      </c>
    </row>
    <row r="450" spans="1:6" x14ac:dyDescent="0.35">
      <c r="A450" t="s">
        <v>9</v>
      </c>
      <c r="B450" t="s">
        <v>18</v>
      </c>
    </row>
    <row r="451" spans="1:6" x14ac:dyDescent="0.35">
      <c r="A451" t="s">
        <v>32</v>
      </c>
      <c r="B451" t="s">
        <v>35</v>
      </c>
      <c r="C451" t="s">
        <v>294</v>
      </c>
    </row>
    <row r="452" spans="1:6" x14ac:dyDescent="0.35">
      <c r="A452" t="s">
        <v>154</v>
      </c>
    </row>
    <row r="453" spans="1:6" x14ac:dyDescent="0.35">
      <c r="A453" t="s">
        <v>295</v>
      </c>
      <c r="B453" t="s">
        <v>60</v>
      </c>
      <c r="C453" t="s">
        <v>15</v>
      </c>
    </row>
    <row r="454" spans="1:6" x14ac:dyDescent="0.35">
      <c r="A454" t="s">
        <v>269</v>
      </c>
    </row>
    <row r="455" spans="1:6" x14ac:dyDescent="0.35">
      <c r="A455" t="s">
        <v>27</v>
      </c>
      <c r="B455" t="s">
        <v>296</v>
      </c>
    </row>
    <row r="456" spans="1:6" x14ac:dyDescent="0.35">
      <c r="A456" t="s">
        <v>27</v>
      </c>
      <c r="B456" t="s">
        <v>24</v>
      </c>
    </row>
    <row r="457" spans="1:6" x14ac:dyDescent="0.35">
      <c r="A457" t="s">
        <v>78</v>
      </c>
    </row>
    <row r="458" spans="1:6" x14ac:dyDescent="0.35">
      <c r="A458" t="s">
        <v>35</v>
      </c>
      <c r="B458" t="s">
        <v>38</v>
      </c>
      <c r="C458" t="s">
        <v>32</v>
      </c>
      <c r="D458" t="s">
        <v>95</v>
      </c>
      <c r="E458" t="s">
        <v>15</v>
      </c>
      <c r="F458" t="s">
        <v>297</v>
      </c>
    </row>
    <row r="459" spans="1:6" x14ac:dyDescent="0.35">
      <c r="A459" t="s">
        <v>27</v>
      </c>
    </row>
    <row r="460" spans="1:6" x14ac:dyDescent="0.35">
      <c r="A460" t="s">
        <v>298</v>
      </c>
      <c r="B460" t="s">
        <v>299</v>
      </c>
      <c r="C460" t="s">
        <v>156</v>
      </c>
    </row>
    <row r="461" spans="1:6" x14ac:dyDescent="0.35">
      <c r="A461" t="s">
        <v>18</v>
      </c>
      <c r="B461" t="s">
        <v>15</v>
      </c>
    </row>
    <row r="462" spans="1:6" x14ac:dyDescent="0.35">
      <c r="A462" t="s">
        <v>9</v>
      </c>
      <c r="B462" t="s">
        <v>57</v>
      </c>
    </row>
    <row r="463" spans="1:6" x14ac:dyDescent="0.35">
      <c r="A463" t="s">
        <v>9</v>
      </c>
    </row>
    <row r="464" spans="1:6" x14ac:dyDescent="0.35">
      <c r="A464" t="s">
        <v>15</v>
      </c>
      <c r="B464" t="s">
        <v>17</v>
      </c>
      <c r="C464" t="s">
        <v>44</v>
      </c>
      <c r="D464" t="s">
        <v>45</v>
      </c>
    </row>
    <row r="465" spans="1:6" x14ac:dyDescent="0.35">
      <c r="A465" t="s">
        <v>31</v>
      </c>
    </row>
    <row r="466" spans="1:6" x14ac:dyDescent="0.35">
      <c r="A466" t="s">
        <v>9</v>
      </c>
      <c r="B466" t="s">
        <v>300</v>
      </c>
      <c r="C466" t="s">
        <v>13</v>
      </c>
    </row>
    <row r="467" spans="1:6" x14ac:dyDescent="0.35">
      <c r="A467" t="s">
        <v>14</v>
      </c>
      <c r="B467" t="s">
        <v>15</v>
      </c>
    </row>
    <row r="468" spans="1:6" x14ac:dyDescent="0.35">
      <c r="A468" t="s">
        <v>301</v>
      </c>
    </row>
    <row r="469" spans="1:6" x14ac:dyDescent="0.35">
      <c r="A469" t="s">
        <v>15</v>
      </c>
      <c r="B469" t="s">
        <v>94</v>
      </c>
      <c r="C469" t="s">
        <v>17</v>
      </c>
      <c r="D469" t="s">
        <v>16</v>
      </c>
      <c r="E469" t="s">
        <v>234</v>
      </c>
    </row>
    <row r="470" spans="1:6" x14ac:dyDescent="0.35">
      <c r="A470" t="s">
        <v>125</v>
      </c>
      <c r="B470" t="s">
        <v>302</v>
      </c>
    </row>
    <row r="471" spans="1:6" x14ac:dyDescent="0.35">
      <c r="A471" t="s">
        <v>15</v>
      </c>
      <c r="B471" t="s">
        <v>20</v>
      </c>
    </row>
    <row r="472" spans="1:6" x14ac:dyDescent="0.35">
      <c r="A472" t="s">
        <v>31</v>
      </c>
      <c r="B472" t="s">
        <v>37</v>
      </c>
    </row>
    <row r="473" spans="1:6" x14ac:dyDescent="0.35">
      <c r="A473" t="s">
        <v>35</v>
      </c>
    </row>
    <row r="474" spans="1:6" x14ac:dyDescent="0.35">
      <c r="A474" t="s">
        <v>131</v>
      </c>
    </row>
    <row r="475" spans="1:6" x14ac:dyDescent="0.35">
      <c r="A475" t="s">
        <v>124</v>
      </c>
      <c r="B475" t="s">
        <v>273</v>
      </c>
    </row>
    <row r="476" spans="1:6" x14ac:dyDescent="0.35">
      <c r="A476" t="s">
        <v>18</v>
      </c>
    </row>
    <row r="477" spans="1:6" x14ac:dyDescent="0.35">
      <c r="A477" t="s">
        <v>15</v>
      </c>
      <c r="B477" t="s">
        <v>94</v>
      </c>
    </row>
    <row r="478" spans="1:6" x14ac:dyDescent="0.35">
      <c r="A478" t="s">
        <v>131</v>
      </c>
      <c r="B478" t="s">
        <v>141</v>
      </c>
      <c r="C478" t="s">
        <v>140</v>
      </c>
    </row>
    <row r="479" spans="1:6" x14ac:dyDescent="0.35">
      <c r="A479" t="s">
        <v>230</v>
      </c>
      <c r="B479" t="s">
        <v>15</v>
      </c>
      <c r="C479" t="s">
        <v>44</v>
      </c>
    </row>
    <row r="480" spans="1:6" x14ac:dyDescent="0.35">
      <c r="A480" t="s">
        <v>303</v>
      </c>
      <c r="B480" t="s">
        <v>15</v>
      </c>
      <c r="C480" t="s">
        <v>97</v>
      </c>
      <c r="D480" t="s">
        <v>21</v>
      </c>
      <c r="E480" t="s">
        <v>20</v>
      </c>
      <c r="F480" t="s">
        <v>31</v>
      </c>
    </row>
    <row r="481" spans="1:5" x14ac:dyDescent="0.35">
      <c r="A481" t="s">
        <v>91</v>
      </c>
    </row>
    <row r="482" spans="1:5" x14ac:dyDescent="0.35">
      <c r="A482" t="s">
        <v>9</v>
      </c>
      <c r="B482" t="s">
        <v>120</v>
      </c>
    </row>
    <row r="483" spans="1:5" x14ac:dyDescent="0.35">
      <c r="A483" t="s">
        <v>304</v>
      </c>
      <c r="B483" t="s">
        <v>11</v>
      </c>
    </row>
    <row r="484" spans="1:5" x14ac:dyDescent="0.35">
      <c r="A484" t="s">
        <v>24</v>
      </c>
      <c r="B484" t="s">
        <v>35</v>
      </c>
    </row>
    <row r="485" spans="1:5" x14ac:dyDescent="0.35">
      <c r="A485" t="s">
        <v>37</v>
      </c>
    </row>
    <row r="486" spans="1:5" x14ac:dyDescent="0.35">
      <c r="A486" t="s">
        <v>86</v>
      </c>
    </row>
    <row r="487" spans="1:5" x14ac:dyDescent="0.35">
      <c r="A487" t="s">
        <v>37</v>
      </c>
      <c r="B487" t="s">
        <v>78</v>
      </c>
      <c r="C487" t="s">
        <v>27</v>
      </c>
    </row>
    <row r="488" spans="1:5" x14ac:dyDescent="0.35">
      <c r="A488" t="s">
        <v>29</v>
      </c>
      <c r="B488" t="s">
        <v>27</v>
      </c>
    </row>
    <row r="489" spans="1:5" x14ac:dyDescent="0.35">
      <c r="A489" t="s">
        <v>305</v>
      </c>
    </row>
    <row r="490" spans="1:5" x14ac:dyDescent="0.35">
      <c r="A490" t="s">
        <v>233</v>
      </c>
      <c r="B490" t="s">
        <v>156</v>
      </c>
      <c r="C490" t="s">
        <v>9</v>
      </c>
    </row>
    <row r="491" spans="1:5" x14ac:dyDescent="0.35">
      <c r="A491" t="s">
        <v>18</v>
      </c>
      <c r="B491" t="s">
        <v>306</v>
      </c>
      <c r="C491" t="s">
        <v>78</v>
      </c>
      <c r="D491" t="s">
        <v>35</v>
      </c>
      <c r="E491" t="s">
        <v>32</v>
      </c>
    </row>
    <row r="492" spans="1:5" x14ac:dyDescent="0.35">
      <c r="A492" t="s">
        <v>11</v>
      </c>
    </row>
    <row r="493" spans="1:5" x14ac:dyDescent="0.35">
      <c r="A493" t="s">
        <v>15</v>
      </c>
      <c r="B493" t="s">
        <v>17</v>
      </c>
      <c r="C493" t="s">
        <v>20</v>
      </c>
      <c r="D493" t="s">
        <v>307</v>
      </c>
    </row>
    <row r="494" spans="1:5" x14ac:dyDescent="0.35">
      <c r="A494" t="s">
        <v>29</v>
      </c>
      <c r="B494" t="s">
        <v>308</v>
      </c>
    </row>
    <row r="495" spans="1:5" x14ac:dyDescent="0.35">
      <c r="A495" t="s">
        <v>59</v>
      </c>
    </row>
    <row r="496" spans="1:5" x14ac:dyDescent="0.35">
      <c r="A496" t="s">
        <v>240</v>
      </c>
      <c r="B496" t="s">
        <v>35</v>
      </c>
    </row>
    <row r="497" spans="1:8" x14ac:dyDescent="0.35">
      <c r="A497" t="s">
        <v>29</v>
      </c>
      <c r="B497" t="s">
        <v>91</v>
      </c>
    </row>
    <row r="498" spans="1:8" x14ac:dyDescent="0.35">
      <c r="A498" t="s">
        <v>78</v>
      </c>
    </row>
    <row r="499" spans="1:8" x14ac:dyDescent="0.35">
      <c r="A499" t="s">
        <v>20</v>
      </c>
      <c r="B499" t="s">
        <v>309</v>
      </c>
    </row>
    <row r="500" spans="1:8" x14ac:dyDescent="0.35">
      <c r="A500" t="s">
        <v>305</v>
      </c>
    </row>
    <row r="501" spans="1:8" x14ac:dyDescent="0.35">
      <c r="A501" t="s">
        <v>10</v>
      </c>
      <c r="B501" t="s">
        <v>15</v>
      </c>
      <c r="C501" t="s">
        <v>20</v>
      </c>
      <c r="D501" t="s">
        <v>262</v>
      </c>
      <c r="E501" t="s">
        <v>42</v>
      </c>
    </row>
    <row r="502" spans="1:8" x14ac:dyDescent="0.35">
      <c r="A502" t="s">
        <v>15</v>
      </c>
      <c r="B502" t="s">
        <v>18</v>
      </c>
      <c r="C502" t="s">
        <v>144</v>
      </c>
      <c r="D502" t="s">
        <v>20</v>
      </c>
    </row>
    <row r="503" spans="1:8" x14ac:dyDescent="0.35">
      <c r="A503" t="s">
        <v>29</v>
      </c>
      <c r="B503" t="s">
        <v>35</v>
      </c>
      <c r="C503" t="s">
        <v>24</v>
      </c>
    </row>
    <row r="504" spans="1:8" x14ac:dyDescent="0.35">
      <c r="A504" t="s">
        <v>310</v>
      </c>
    </row>
    <row r="505" spans="1:8" x14ac:dyDescent="0.35">
      <c r="A505" t="s">
        <v>311</v>
      </c>
    </row>
    <row r="506" spans="1:8" x14ac:dyDescent="0.35">
      <c r="A506" t="s">
        <v>27</v>
      </c>
    </row>
    <row r="507" spans="1:8" x14ac:dyDescent="0.35">
      <c r="A507" t="s">
        <v>15</v>
      </c>
      <c r="B507" t="s">
        <v>20</v>
      </c>
      <c r="C507" t="s">
        <v>13</v>
      </c>
      <c r="D507" t="s">
        <v>126</v>
      </c>
      <c r="E507" t="s">
        <v>18</v>
      </c>
      <c r="F507" t="s">
        <v>312</v>
      </c>
      <c r="G507" t="s">
        <v>29</v>
      </c>
      <c r="H507" t="s">
        <v>313</v>
      </c>
    </row>
    <row r="508" spans="1:8" x14ac:dyDescent="0.35">
      <c r="A508" t="s">
        <v>15</v>
      </c>
    </row>
    <row r="509" spans="1:8" x14ac:dyDescent="0.35">
      <c r="A509" t="s">
        <v>314</v>
      </c>
    </row>
    <row r="510" spans="1:8" x14ac:dyDescent="0.35">
      <c r="A510" t="s">
        <v>11</v>
      </c>
      <c r="B510" t="s">
        <v>315</v>
      </c>
      <c r="C510" t="s">
        <v>35</v>
      </c>
    </row>
    <row r="511" spans="1:8" x14ac:dyDescent="0.35">
      <c r="A511" t="s">
        <v>27</v>
      </c>
      <c r="B511" t="s">
        <v>28</v>
      </c>
    </row>
    <row r="512" spans="1:8" x14ac:dyDescent="0.35">
      <c r="A512" t="s">
        <v>44</v>
      </c>
    </row>
    <row r="513" spans="1:6" x14ac:dyDescent="0.35">
      <c r="A513" t="s">
        <v>156</v>
      </c>
    </row>
    <row r="514" spans="1:6" x14ac:dyDescent="0.35">
      <c r="A514" t="s">
        <v>9</v>
      </c>
      <c r="B514" t="s">
        <v>27</v>
      </c>
    </row>
    <row r="515" spans="1:6" x14ac:dyDescent="0.35">
      <c r="A515" t="s">
        <v>124</v>
      </c>
      <c r="B515" t="s">
        <v>18</v>
      </c>
      <c r="C515" t="s">
        <v>15</v>
      </c>
      <c r="D515" t="s">
        <v>20</v>
      </c>
    </row>
    <row r="516" spans="1:6" x14ac:dyDescent="0.35">
      <c r="A516" t="s">
        <v>9</v>
      </c>
    </row>
    <row r="517" spans="1:6" x14ac:dyDescent="0.35">
      <c r="A517" t="s">
        <v>27</v>
      </c>
      <c r="B517" t="s">
        <v>10</v>
      </c>
    </row>
    <row r="518" spans="1:6" x14ac:dyDescent="0.35">
      <c r="A518" t="s">
        <v>35</v>
      </c>
    </row>
    <row r="519" spans="1:6" x14ac:dyDescent="0.35">
      <c r="A519" t="s">
        <v>180</v>
      </c>
    </row>
    <row r="520" spans="1:6" x14ac:dyDescent="0.35">
      <c r="A520" t="s">
        <v>35</v>
      </c>
      <c r="B520" t="s">
        <v>316</v>
      </c>
    </row>
    <row r="521" spans="1:6" x14ac:dyDescent="0.35">
      <c r="A521" t="s">
        <v>35</v>
      </c>
      <c r="B521" t="s">
        <v>24</v>
      </c>
      <c r="C521" t="s">
        <v>18</v>
      </c>
      <c r="D521" t="s">
        <v>273</v>
      </c>
      <c r="E521" t="s">
        <v>20</v>
      </c>
      <c r="F521" t="s">
        <v>251</v>
      </c>
    </row>
    <row r="522" spans="1:6" x14ac:dyDescent="0.35">
      <c r="A522" t="s">
        <v>317</v>
      </c>
    </row>
    <row r="523" spans="1:6" x14ac:dyDescent="0.35">
      <c r="A523" t="s">
        <v>9</v>
      </c>
      <c r="B523" t="s">
        <v>10</v>
      </c>
      <c r="C523" t="s">
        <v>13</v>
      </c>
      <c r="D523" t="s">
        <v>57</v>
      </c>
    </row>
    <row r="524" spans="1:6" x14ac:dyDescent="0.35">
      <c r="A524" t="s">
        <v>31</v>
      </c>
    </row>
    <row r="525" spans="1:6" x14ac:dyDescent="0.35">
      <c r="A525" t="s">
        <v>50</v>
      </c>
    </row>
    <row r="526" spans="1:6" x14ac:dyDescent="0.35">
      <c r="A526" t="s">
        <v>318</v>
      </c>
    </row>
    <row r="527" spans="1:6" x14ac:dyDescent="0.35">
      <c r="A527" t="s">
        <v>15</v>
      </c>
      <c r="B527" t="s">
        <v>18</v>
      </c>
    </row>
    <row r="528" spans="1:6" x14ac:dyDescent="0.35">
      <c r="A528" t="s">
        <v>27</v>
      </c>
      <c r="B528" t="s">
        <v>305</v>
      </c>
    </row>
    <row r="529" spans="1:10" x14ac:dyDescent="0.35">
      <c r="A529" t="s">
        <v>199</v>
      </c>
      <c r="B529" t="s">
        <v>15</v>
      </c>
    </row>
    <row r="530" spans="1:10" x14ac:dyDescent="0.35">
      <c r="A530" t="s">
        <v>97</v>
      </c>
    </row>
    <row r="531" spans="1:10" x14ac:dyDescent="0.35">
      <c r="A531" t="s">
        <v>59</v>
      </c>
      <c r="B531" t="s">
        <v>319</v>
      </c>
    </row>
    <row r="532" spans="1:10" x14ac:dyDescent="0.35">
      <c r="A532" t="s">
        <v>27</v>
      </c>
    </row>
    <row r="533" spans="1:10" x14ac:dyDescent="0.35">
      <c r="A533" t="s">
        <v>15</v>
      </c>
      <c r="B533" t="s">
        <v>31</v>
      </c>
    </row>
    <row r="534" spans="1:10" x14ac:dyDescent="0.35">
      <c r="A534" t="s">
        <v>240</v>
      </c>
    </row>
    <row r="535" spans="1:10" x14ac:dyDescent="0.35">
      <c r="A535" t="s">
        <v>11</v>
      </c>
      <c r="B535" t="s">
        <v>27</v>
      </c>
    </row>
    <row r="536" spans="1:10" x14ac:dyDescent="0.35">
      <c r="A536" t="s">
        <v>11</v>
      </c>
    </row>
    <row r="537" spans="1:10" x14ac:dyDescent="0.35">
      <c r="A537" t="s">
        <v>9</v>
      </c>
    </row>
    <row r="538" spans="1:10" x14ac:dyDescent="0.35">
      <c r="A538" t="s">
        <v>32</v>
      </c>
      <c r="B538" t="s">
        <v>27</v>
      </c>
    </row>
    <row r="539" spans="1:10" x14ac:dyDescent="0.35">
      <c r="A539" t="s">
        <v>320</v>
      </c>
    </row>
    <row r="540" spans="1:10" x14ac:dyDescent="0.35">
      <c r="A540" t="s">
        <v>321</v>
      </c>
      <c r="B540" t="s">
        <v>140</v>
      </c>
      <c r="C540" t="s">
        <v>322</v>
      </c>
      <c r="D540" t="s">
        <v>323</v>
      </c>
      <c r="E540" t="s">
        <v>324</v>
      </c>
      <c r="F540" t="s">
        <v>325</v>
      </c>
      <c r="G540" t="s">
        <v>326</v>
      </c>
      <c r="H540" t="s">
        <v>327</v>
      </c>
      <c r="I540" t="s">
        <v>328</v>
      </c>
      <c r="J540" t="s">
        <v>329</v>
      </c>
    </row>
    <row r="541" spans="1:10" x14ac:dyDescent="0.35">
      <c r="A541" t="s">
        <v>15</v>
      </c>
      <c r="B541" t="s">
        <v>10</v>
      </c>
    </row>
    <row r="542" spans="1:10" x14ac:dyDescent="0.35">
      <c r="A542" t="s">
        <v>55</v>
      </c>
    </row>
    <row r="543" spans="1:10" x14ac:dyDescent="0.35">
      <c r="A543" t="s">
        <v>35</v>
      </c>
    </row>
    <row r="544" spans="1:10" x14ac:dyDescent="0.35">
      <c r="A544" t="s">
        <v>240</v>
      </c>
    </row>
    <row r="545" spans="1:7" x14ac:dyDescent="0.35">
      <c r="A545" t="s">
        <v>80</v>
      </c>
    </row>
    <row r="546" spans="1:7" x14ac:dyDescent="0.35">
      <c r="A546" t="s">
        <v>18</v>
      </c>
      <c r="B546" t="s">
        <v>20</v>
      </c>
      <c r="C546" t="s">
        <v>15</v>
      </c>
    </row>
    <row r="547" spans="1:7" x14ac:dyDescent="0.35">
      <c r="A547" t="s">
        <v>27</v>
      </c>
    </row>
    <row r="548" spans="1:7" x14ac:dyDescent="0.35">
      <c r="A548" t="s">
        <v>15</v>
      </c>
    </row>
    <row r="549" spans="1:7" x14ac:dyDescent="0.35">
      <c r="A549" t="s">
        <v>15</v>
      </c>
    </row>
    <row r="550" spans="1:7" x14ac:dyDescent="0.35">
      <c r="A550" t="s">
        <v>146</v>
      </c>
      <c r="B550" t="s">
        <v>15</v>
      </c>
      <c r="C550" t="s">
        <v>330</v>
      </c>
    </row>
    <row r="551" spans="1:7" x14ac:dyDescent="0.35">
      <c r="A551" t="s">
        <v>27</v>
      </c>
    </row>
    <row r="552" spans="1:7" x14ac:dyDescent="0.35">
      <c r="A552" t="s">
        <v>14</v>
      </c>
      <c r="B552" t="s">
        <v>35</v>
      </c>
      <c r="C552" t="s">
        <v>31</v>
      </c>
    </row>
    <row r="553" spans="1:7" x14ac:dyDescent="0.35">
      <c r="A553" t="s">
        <v>31</v>
      </c>
      <c r="B553" t="s">
        <v>14</v>
      </c>
    </row>
    <row r="554" spans="1:7" x14ac:dyDescent="0.35">
      <c r="A554" t="s">
        <v>11</v>
      </c>
    </row>
    <row r="555" spans="1:7" x14ac:dyDescent="0.35">
      <c r="A555" t="s">
        <v>59</v>
      </c>
      <c r="B555" t="s">
        <v>15</v>
      </c>
      <c r="C555" t="s">
        <v>20</v>
      </c>
      <c r="D555" t="s">
        <v>18</v>
      </c>
    </row>
    <row r="556" spans="1:7" x14ac:dyDescent="0.35">
      <c r="A556" t="s">
        <v>9</v>
      </c>
      <c r="B556" t="s">
        <v>41</v>
      </c>
    </row>
    <row r="557" spans="1:7" x14ac:dyDescent="0.35">
      <c r="A557" t="s">
        <v>9</v>
      </c>
      <c r="B557" t="s">
        <v>57</v>
      </c>
      <c r="C557" t="s">
        <v>13</v>
      </c>
      <c r="D557" t="s">
        <v>169</v>
      </c>
      <c r="E557" t="s">
        <v>10</v>
      </c>
      <c r="F557" t="s">
        <v>331</v>
      </c>
      <c r="G557" t="s">
        <v>151</v>
      </c>
    </row>
    <row r="558" spans="1:7" x14ac:dyDescent="0.35">
      <c r="A558" t="s">
        <v>32</v>
      </c>
      <c r="B558" t="s">
        <v>24</v>
      </c>
    </row>
    <row r="559" spans="1:7" x14ac:dyDescent="0.35">
      <c r="A559" t="s">
        <v>95</v>
      </c>
    </row>
    <row r="560" spans="1:7" x14ac:dyDescent="0.35">
      <c r="A560" t="s">
        <v>332</v>
      </c>
      <c r="B560" t="s">
        <v>31</v>
      </c>
    </row>
    <row r="561" spans="1:6" x14ac:dyDescent="0.35">
      <c r="A561" t="s">
        <v>24</v>
      </c>
      <c r="B561" t="s">
        <v>27</v>
      </c>
      <c r="C561" t="s">
        <v>31</v>
      </c>
    </row>
    <row r="562" spans="1:6" x14ac:dyDescent="0.35">
      <c r="A562" t="s">
        <v>31</v>
      </c>
    </row>
    <row r="563" spans="1:6" x14ac:dyDescent="0.35">
      <c r="A563" t="s">
        <v>195</v>
      </c>
      <c r="B563" t="s">
        <v>27</v>
      </c>
      <c r="C563" t="s">
        <v>29</v>
      </c>
    </row>
    <row r="564" spans="1:6" x14ac:dyDescent="0.35">
      <c r="A564" t="s">
        <v>15</v>
      </c>
      <c r="B564" t="s">
        <v>300</v>
      </c>
      <c r="C564" t="s">
        <v>55</v>
      </c>
      <c r="D564" t="s">
        <v>94</v>
      </c>
    </row>
    <row r="565" spans="1:6" x14ac:dyDescent="0.35">
      <c r="A565" t="s">
        <v>18</v>
      </c>
    </row>
    <row r="566" spans="1:6" x14ac:dyDescent="0.35">
      <c r="A566" t="s">
        <v>9</v>
      </c>
      <c r="B566" t="s">
        <v>333</v>
      </c>
      <c r="C566" t="s">
        <v>300</v>
      </c>
    </row>
    <row r="567" spans="1:6" x14ac:dyDescent="0.35">
      <c r="A567" t="s">
        <v>9</v>
      </c>
      <c r="B567" t="s">
        <v>334</v>
      </c>
      <c r="C567" t="s">
        <v>335</v>
      </c>
    </row>
    <row r="568" spans="1:6" x14ac:dyDescent="0.35">
      <c r="A568" t="s">
        <v>11</v>
      </c>
    </row>
    <row r="569" spans="1:6" x14ac:dyDescent="0.35">
      <c r="A569" t="s">
        <v>31</v>
      </c>
    </row>
    <row r="570" spans="1:6" x14ac:dyDescent="0.35">
      <c r="A570" t="s">
        <v>11</v>
      </c>
      <c r="B570" t="s">
        <v>18</v>
      </c>
      <c r="C570" t="s">
        <v>15</v>
      </c>
      <c r="D570" t="s">
        <v>44</v>
      </c>
      <c r="E570" t="s">
        <v>29</v>
      </c>
      <c r="F570" t="s">
        <v>91</v>
      </c>
    </row>
    <row r="571" spans="1:6" x14ac:dyDescent="0.35">
      <c r="A571" t="s">
        <v>50</v>
      </c>
    </row>
    <row r="572" spans="1:6" x14ac:dyDescent="0.35">
      <c r="A572" t="s">
        <v>336</v>
      </c>
      <c r="B572" t="s">
        <v>85</v>
      </c>
      <c r="C572" t="s">
        <v>27</v>
      </c>
    </row>
    <row r="573" spans="1:6" x14ac:dyDescent="0.35">
      <c r="A573" t="s">
        <v>35</v>
      </c>
    </row>
    <row r="574" spans="1:6" x14ac:dyDescent="0.35">
      <c r="A574" t="s">
        <v>31</v>
      </c>
      <c r="B574" t="s">
        <v>35</v>
      </c>
      <c r="C574" t="s">
        <v>14</v>
      </c>
      <c r="D574" t="s">
        <v>337</v>
      </c>
    </row>
    <row r="575" spans="1:6" x14ac:dyDescent="0.35">
      <c r="A575" t="s">
        <v>91</v>
      </c>
      <c r="B575" t="s">
        <v>27</v>
      </c>
      <c r="C575" t="s">
        <v>168</v>
      </c>
      <c r="D575" t="s">
        <v>188</v>
      </c>
    </row>
    <row r="576" spans="1:6" x14ac:dyDescent="0.35">
      <c r="A576" t="s">
        <v>35</v>
      </c>
      <c r="B576" t="s">
        <v>269</v>
      </c>
    </row>
    <row r="577" spans="1:5" x14ac:dyDescent="0.35">
      <c r="A577" t="s">
        <v>152</v>
      </c>
    </row>
    <row r="578" spans="1:5" x14ac:dyDescent="0.35">
      <c r="A578" t="s">
        <v>44</v>
      </c>
      <c r="B578" t="s">
        <v>9</v>
      </c>
      <c r="C578" t="s">
        <v>10</v>
      </c>
    </row>
    <row r="579" spans="1:5" x14ac:dyDescent="0.35">
      <c r="A579" t="s">
        <v>42</v>
      </c>
      <c r="B579" t="s">
        <v>338</v>
      </c>
    </row>
    <row r="580" spans="1:5" x14ac:dyDescent="0.35">
      <c r="A580" t="s">
        <v>143</v>
      </c>
      <c r="B580" t="s">
        <v>339</v>
      </c>
      <c r="C580" t="s">
        <v>11</v>
      </c>
      <c r="D580" t="s">
        <v>274</v>
      </c>
    </row>
    <row r="581" spans="1:5" x14ac:dyDescent="0.35">
      <c r="A581" t="s">
        <v>57</v>
      </c>
      <c r="B581" t="s">
        <v>9</v>
      </c>
    </row>
    <row r="582" spans="1:5" x14ac:dyDescent="0.35">
      <c r="A582" t="s">
        <v>64</v>
      </c>
      <c r="B582" t="s">
        <v>38</v>
      </c>
      <c r="C582" t="s">
        <v>85</v>
      </c>
      <c r="D582" t="s">
        <v>27</v>
      </c>
    </row>
    <row r="583" spans="1:5" x14ac:dyDescent="0.35">
      <c r="A583" t="s">
        <v>38</v>
      </c>
      <c r="B583" t="s">
        <v>35</v>
      </c>
    </row>
    <row r="584" spans="1:5" x14ac:dyDescent="0.35">
      <c r="A584" t="s">
        <v>340</v>
      </c>
    </row>
    <row r="585" spans="1:5" x14ac:dyDescent="0.35">
      <c r="A585" t="s">
        <v>341</v>
      </c>
    </row>
    <row r="586" spans="1:5" x14ac:dyDescent="0.35">
      <c r="A586" t="s">
        <v>342</v>
      </c>
    </row>
    <row r="587" spans="1:5" x14ac:dyDescent="0.35">
      <c r="A587" t="s">
        <v>42</v>
      </c>
      <c r="B587" t="s">
        <v>15</v>
      </c>
    </row>
    <row r="588" spans="1:5" x14ac:dyDescent="0.35">
      <c r="A588" t="s">
        <v>34</v>
      </c>
      <c r="B588" t="s">
        <v>31</v>
      </c>
      <c r="C588" t="s">
        <v>307</v>
      </c>
    </row>
    <row r="589" spans="1:5" x14ac:dyDescent="0.35">
      <c r="A589" t="s">
        <v>31</v>
      </c>
      <c r="B589" t="s">
        <v>35</v>
      </c>
      <c r="C589" t="s">
        <v>85</v>
      </c>
      <c r="D589" t="s">
        <v>38</v>
      </c>
    </row>
    <row r="590" spans="1:5" x14ac:dyDescent="0.35">
      <c r="A590" t="s">
        <v>35</v>
      </c>
      <c r="B590" t="s">
        <v>20</v>
      </c>
      <c r="C590" t="s">
        <v>9</v>
      </c>
      <c r="D590" t="s">
        <v>21</v>
      </c>
    </row>
    <row r="591" spans="1:5" x14ac:dyDescent="0.35">
      <c r="A591" t="s">
        <v>18</v>
      </c>
      <c r="B591" t="s">
        <v>15</v>
      </c>
      <c r="C591" t="s">
        <v>24</v>
      </c>
      <c r="D591" t="s">
        <v>94</v>
      </c>
      <c r="E591" t="s">
        <v>17</v>
      </c>
    </row>
    <row r="592" spans="1:5" x14ac:dyDescent="0.35">
      <c r="A592" t="s">
        <v>124</v>
      </c>
      <c r="B592" t="s">
        <v>273</v>
      </c>
      <c r="C592" t="s">
        <v>291</v>
      </c>
      <c r="D592" t="s">
        <v>35</v>
      </c>
    </row>
    <row r="593" spans="1:7" x14ac:dyDescent="0.35">
      <c r="A593" t="s">
        <v>35</v>
      </c>
      <c r="B593" t="s">
        <v>343</v>
      </c>
    </row>
    <row r="594" spans="1:7" x14ac:dyDescent="0.35">
      <c r="A594" t="s">
        <v>91</v>
      </c>
      <c r="B594" t="s">
        <v>35</v>
      </c>
    </row>
    <row r="595" spans="1:7" x14ac:dyDescent="0.35">
      <c r="A595" t="s">
        <v>37</v>
      </c>
    </row>
    <row r="596" spans="1:7" x14ac:dyDescent="0.35">
      <c r="A596" t="s">
        <v>59</v>
      </c>
      <c r="B596" t="s">
        <v>42</v>
      </c>
    </row>
    <row r="597" spans="1:7" x14ac:dyDescent="0.35">
      <c r="A597" t="s">
        <v>35</v>
      </c>
    </row>
    <row r="598" spans="1:7" x14ac:dyDescent="0.35">
      <c r="A598" t="s">
        <v>18</v>
      </c>
      <c r="B598" t="s">
        <v>15</v>
      </c>
      <c r="C598" t="s">
        <v>20</v>
      </c>
    </row>
    <row r="599" spans="1:7" x14ac:dyDescent="0.35">
      <c r="A599" t="s">
        <v>46</v>
      </c>
      <c r="B599" t="s">
        <v>10</v>
      </c>
    </row>
    <row r="600" spans="1:7" x14ac:dyDescent="0.35">
      <c r="A600" t="s">
        <v>27</v>
      </c>
      <c r="B600" t="s">
        <v>11</v>
      </c>
    </row>
    <row r="601" spans="1:7" x14ac:dyDescent="0.35">
      <c r="A601" t="s">
        <v>18</v>
      </c>
      <c r="B601" t="s">
        <v>125</v>
      </c>
      <c r="C601" t="s">
        <v>15</v>
      </c>
      <c r="D601" t="s">
        <v>302</v>
      </c>
      <c r="E601" t="s">
        <v>344</v>
      </c>
    </row>
    <row r="602" spans="1:7" x14ac:dyDescent="0.35">
      <c r="A602" t="s">
        <v>9</v>
      </c>
    </row>
    <row r="603" spans="1:7" x14ac:dyDescent="0.35">
      <c r="A603" t="s">
        <v>345</v>
      </c>
    </row>
    <row r="604" spans="1:7" x14ac:dyDescent="0.35">
      <c r="A604" t="s">
        <v>28</v>
      </c>
    </row>
    <row r="605" spans="1:7" x14ac:dyDescent="0.35">
      <c r="A605" t="s">
        <v>9</v>
      </c>
      <c r="B605" t="s">
        <v>13</v>
      </c>
      <c r="C605" t="s">
        <v>10</v>
      </c>
      <c r="D605" t="s">
        <v>346</v>
      </c>
      <c r="E605" t="s">
        <v>333</v>
      </c>
      <c r="F605" t="s">
        <v>27</v>
      </c>
      <c r="G605" t="s">
        <v>57</v>
      </c>
    </row>
    <row r="606" spans="1:7" x14ac:dyDescent="0.35">
      <c r="A606" t="s">
        <v>122</v>
      </c>
      <c r="B606" t="s">
        <v>121</v>
      </c>
    </row>
    <row r="607" spans="1:7" x14ac:dyDescent="0.35">
      <c r="A607" t="s">
        <v>347</v>
      </c>
    </row>
    <row r="608" spans="1:7" x14ac:dyDescent="0.35">
      <c r="A608" t="s">
        <v>348</v>
      </c>
      <c r="B608" t="s">
        <v>20</v>
      </c>
      <c r="C608" t="s">
        <v>349</v>
      </c>
      <c r="D608" t="s">
        <v>350</v>
      </c>
      <c r="E608" t="s">
        <v>124</v>
      </c>
    </row>
    <row r="609" spans="1:4" x14ac:dyDescent="0.35">
      <c r="A609" t="s">
        <v>38</v>
      </c>
      <c r="B609" t="s">
        <v>35</v>
      </c>
    </row>
    <row r="610" spans="1:4" x14ac:dyDescent="0.35">
      <c r="A610" t="s">
        <v>11</v>
      </c>
    </row>
    <row r="611" spans="1:4" x14ac:dyDescent="0.35">
      <c r="A611" t="s">
        <v>94</v>
      </c>
      <c r="B611" t="s">
        <v>29</v>
      </c>
    </row>
    <row r="612" spans="1:4" x14ac:dyDescent="0.35">
      <c r="A612" t="s">
        <v>35</v>
      </c>
      <c r="B612" t="s">
        <v>32</v>
      </c>
      <c r="C612" t="s">
        <v>31</v>
      </c>
      <c r="D612" t="s">
        <v>14</v>
      </c>
    </row>
    <row r="613" spans="1:4" x14ac:dyDescent="0.35">
      <c r="A613" t="s">
        <v>59</v>
      </c>
      <c r="B613" t="s">
        <v>32</v>
      </c>
    </row>
    <row r="614" spans="1:4" x14ac:dyDescent="0.35">
      <c r="A614" t="s">
        <v>38</v>
      </c>
    </row>
    <row r="615" spans="1:4" x14ac:dyDescent="0.35">
      <c r="A615" t="s">
        <v>35</v>
      </c>
      <c r="B615" t="s">
        <v>18</v>
      </c>
      <c r="C615" t="s">
        <v>9</v>
      </c>
      <c r="D615" t="s">
        <v>20</v>
      </c>
    </row>
    <row r="616" spans="1:4" x14ac:dyDescent="0.35">
      <c r="A616" t="s">
        <v>27</v>
      </c>
    </row>
    <row r="617" spans="1:4" x14ac:dyDescent="0.35">
      <c r="A617" t="s">
        <v>15</v>
      </c>
      <c r="B617" t="s">
        <v>45</v>
      </c>
      <c r="C617" t="s">
        <v>21</v>
      </c>
      <c r="D617" t="s">
        <v>31</v>
      </c>
    </row>
    <row r="618" spans="1:4" x14ac:dyDescent="0.35">
      <c r="A618" t="s">
        <v>24</v>
      </c>
      <c r="B618" t="s">
        <v>35</v>
      </c>
    </row>
    <row r="619" spans="1:4" x14ac:dyDescent="0.35">
      <c r="A619" t="s">
        <v>15</v>
      </c>
    </row>
    <row r="620" spans="1:4" x14ac:dyDescent="0.35">
      <c r="A620" t="s">
        <v>32</v>
      </c>
      <c r="B620" t="s">
        <v>35</v>
      </c>
      <c r="C620" t="s">
        <v>74</v>
      </c>
    </row>
    <row r="621" spans="1:4" x14ac:dyDescent="0.35">
      <c r="A621" t="s">
        <v>35</v>
      </c>
      <c r="B621" t="s">
        <v>32</v>
      </c>
    </row>
    <row r="622" spans="1:4" x14ac:dyDescent="0.35">
      <c r="A622" t="s">
        <v>9</v>
      </c>
    </row>
    <row r="623" spans="1:4" x14ac:dyDescent="0.35">
      <c r="A623" t="s">
        <v>27</v>
      </c>
      <c r="B623" t="s">
        <v>50</v>
      </c>
    </row>
    <row r="624" spans="1:4" x14ac:dyDescent="0.35">
      <c r="A624" t="s">
        <v>15</v>
      </c>
      <c r="B624" t="s">
        <v>44</v>
      </c>
      <c r="C624" t="s">
        <v>232</v>
      </c>
    </row>
    <row r="625" spans="1:4" x14ac:dyDescent="0.35">
      <c r="A625" t="s">
        <v>27</v>
      </c>
      <c r="B625" t="s">
        <v>11</v>
      </c>
      <c r="C625" t="s">
        <v>29</v>
      </c>
    </row>
    <row r="626" spans="1:4" x14ac:dyDescent="0.35">
      <c r="A626" t="s">
        <v>60</v>
      </c>
      <c r="B626" t="s">
        <v>351</v>
      </c>
    </row>
    <row r="627" spans="1:4" x14ac:dyDescent="0.35">
      <c r="A627" t="s">
        <v>15</v>
      </c>
    </row>
    <row r="628" spans="1:4" x14ac:dyDescent="0.35">
      <c r="A628" t="s">
        <v>35</v>
      </c>
      <c r="B628" t="s">
        <v>78</v>
      </c>
      <c r="C628" t="s">
        <v>18</v>
      </c>
    </row>
    <row r="629" spans="1:4" x14ac:dyDescent="0.35">
      <c r="A629" t="s">
        <v>91</v>
      </c>
      <c r="B629" t="s">
        <v>352</v>
      </c>
      <c r="C629" t="s">
        <v>9</v>
      </c>
    </row>
    <row r="630" spans="1:4" x14ac:dyDescent="0.35">
      <c r="A630" t="s">
        <v>15</v>
      </c>
    </row>
    <row r="631" spans="1:4" x14ac:dyDescent="0.35">
      <c r="A631" t="s">
        <v>29</v>
      </c>
    </row>
    <row r="632" spans="1:4" x14ac:dyDescent="0.35">
      <c r="A632" t="s">
        <v>31</v>
      </c>
    </row>
    <row r="633" spans="1:4" x14ac:dyDescent="0.35">
      <c r="A633" t="s">
        <v>9</v>
      </c>
      <c r="B633" t="s">
        <v>31</v>
      </c>
      <c r="C633" t="s">
        <v>35</v>
      </c>
    </row>
    <row r="634" spans="1:4" x14ac:dyDescent="0.35">
      <c r="A634" t="s">
        <v>37</v>
      </c>
    </row>
    <row r="635" spans="1:4" x14ac:dyDescent="0.35">
      <c r="A635" t="s">
        <v>86</v>
      </c>
      <c r="B635" t="s">
        <v>353</v>
      </c>
      <c r="C635" t="s">
        <v>15</v>
      </c>
      <c r="D635" t="s">
        <v>21</v>
      </c>
    </row>
    <row r="636" spans="1:4" x14ac:dyDescent="0.35">
      <c r="A636" t="s">
        <v>10</v>
      </c>
      <c r="B636" t="s">
        <v>9</v>
      </c>
      <c r="C636" t="s">
        <v>135</v>
      </c>
    </row>
    <row r="637" spans="1:4" x14ac:dyDescent="0.35">
      <c r="A637" t="s">
        <v>14</v>
      </c>
      <c r="B637" t="s">
        <v>31</v>
      </c>
    </row>
    <row r="638" spans="1:4" x14ac:dyDescent="0.35">
      <c r="A638" t="s">
        <v>354</v>
      </c>
      <c r="B638" t="s">
        <v>20</v>
      </c>
    </row>
    <row r="639" spans="1:4" x14ac:dyDescent="0.35">
      <c r="A639" t="s">
        <v>355</v>
      </c>
    </row>
    <row r="640" spans="1:4" x14ac:dyDescent="0.35">
      <c r="A640" t="s">
        <v>35</v>
      </c>
    </row>
    <row r="641" spans="1:6" x14ac:dyDescent="0.35">
      <c r="A641" t="s">
        <v>126</v>
      </c>
      <c r="B641" t="s">
        <v>13</v>
      </c>
      <c r="C641" t="s">
        <v>15</v>
      </c>
      <c r="D641" t="s">
        <v>57</v>
      </c>
    </row>
    <row r="642" spans="1:6" x14ac:dyDescent="0.35">
      <c r="A642" t="s">
        <v>356</v>
      </c>
    </row>
    <row r="643" spans="1:6" x14ac:dyDescent="0.35">
      <c r="A643" t="s">
        <v>357</v>
      </c>
    </row>
    <row r="644" spans="1:6" x14ac:dyDescent="0.35">
      <c r="A644" t="s">
        <v>9</v>
      </c>
      <c r="B644" t="s">
        <v>57</v>
      </c>
    </row>
    <row r="645" spans="1:6" x14ac:dyDescent="0.35">
      <c r="A645" t="s">
        <v>35</v>
      </c>
      <c r="B645" t="s">
        <v>32</v>
      </c>
      <c r="C645" t="s">
        <v>37</v>
      </c>
      <c r="D645" t="s">
        <v>31</v>
      </c>
    </row>
    <row r="646" spans="1:6" x14ac:dyDescent="0.35">
      <c r="A646" t="s">
        <v>31</v>
      </c>
      <c r="B646" t="s">
        <v>32</v>
      </c>
      <c r="C646" t="s">
        <v>35</v>
      </c>
      <c r="D646" t="s">
        <v>240</v>
      </c>
      <c r="E646" t="s">
        <v>259</v>
      </c>
    </row>
    <row r="647" spans="1:6" x14ac:dyDescent="0.35">
      <c r="A647" t="s">
        <v>358</v>
      </c>
      <c r="B647" t="s">
        <v>124</v>
      </c>
    </row>
    <row r="648" spans="1:6" x14ac:dyDescent="0.35">
      <c r="A648" t="s">
        <v>126</v>
      </c>
    </row>
    <row r="649" spans="1:6" x14ac:dyDescent="0.35">
      <c r="A649" t="s">
        <v>124</v>
      </c>
      <c r="B649" t="s">
        <v>273</v>
      </c>
      <c r="C649" t="s">
        <v>359</v>
      </c>
    </row>
    <row r="650" spans="1:6" x14ac:dyDescent="0.35">
      <c r="A650" t="s">
        <v>31</v>
      </c>
      <c r="B650" t="s">
        <v>65</v>
      </c>
    </row>
    <row r="651" spans="1:6" x14ac:dyDescent="0.35">
      <c r="A651" t="s">
        <v>360</v>
      </c>
      <c r="B651" t="s">
        <v>35</v>
      </c>
      <c r="C651" t="s">
        <v>29</v>
      </c>
    </row>
    <row r="652" spans="1:6" x14ac:dyDescent="0.35">
      <c r="A652" t="s">
        <v>124</v>
      </c>
    </row>
    <row r="653" spans="1:6" x14ac:dyDescent="0.35">
      <c r="A653" t="s">
        <v>361</v>
      </c>
    </row>
    <row r="654" spans="1:6" x14ac:dyDescent="0.35">
      <c r="A654" t="s">
        <v>27</v>
      </c>
      <c r="B654" t="s">
        <v>11</v>
      </c>
      <c r="C654" t="s">
        <v>362</v>
      </c>
      <c r="D654" t="s">
        <v>91</v>
      </c>
      <c r="E654" t="s">
        <v>29</v>
      </c>
      <c r="F654" t="s">
        <v>13</v>
      </c>
    </row>
    <row r="655" spans="1:6" x14ac:dyDescent="0.35">
      <c r="A655" t="s">
        <v>34</v>
      </c>
      <c r="B655" t="s">
        <v>15</v>
      </c>
      <c r="C655" t="s">
        <v>26</v>
      </c>
    </row>
    <row r="656" spans="1:6" x14ac:dyDescent="0.35">
      <c r="A656" t="s">
        <v>30</v>
      </c>
      <c r="B656" t="s">
        <v>9</v>
      </c>
      <c r="C656" t="s">
        <v>57</v>
      </c>
      <c r="D656" t="s">
        <v>363</v>
      </c>
    </row>
    <row r="657" spans="1:6" x14ac:dyDescent="0.35">
      <c r="A657" t="s">
        <v>364</v>
      </c>
      <c r="B657" t="s">
        <v>75</v>
      </c>
      <c r="C657" t="s">
        <v>12</v>
      </c>
      <c r="D657" t="s">
        <v>13</v>
      </c>
      <c r="E657" t="s">
        <v>9</v>
      </c>
    </row>
    <row r="658" spans="1:6" x14ac:dyDescent="0.35">
      <c r="A658" t="s">
        <v>15</v>
      </c>
      <c r="B658" t="s">
        <v>18</v>
      </c>
      <c r="C658" t="s">
        <v>232</v>
      </c>
      <c r="D658" t="s">
        <v>21</v>
      </c>
    </row>
    <row r="659" spans="1:6" x14ac:dyDescent="0.35">
      <c r="A659" t="s">
        <v>124</v>
      </c>
    </row>
    <row r="660" spans="1:6" x14ac:dyDescent="0.35">
      <c r="A660" t="s">
        <v>18</v>
      </c>
      <c r="B660" t="s">
        <v>15</v>
      </c>
      <c r="C660" t="s">
        <v>365</v>
      </c>
    </row>
    <row r="661" spans="1:6" x14ac:dyDescent="0.35">
      <c r="A661" t="s">
        <v>35</v>
      </c>
      <c r="B661" t="s">
        <v>78</v>
      </c>
      <c r="C661" t="s">
        <v>85</v>
      </c>
    </row>
    <row r="662" spans="1:6" x14ac:dyDescent="0.35">
      <c r="A662" t="s">
        <v>144</v>
      </c>
      <c r="B662" t="s">
        <v>366</v>
      </c>
    </row>
    <row r="663" spans="1:6" x14ac:dyDescent="0.35">
      <c r="A663" t="s">
        <v>31</v>
      </c>
      <c r="B663" t="s">
        <v>94</v>
      </c>
      <c r="C663" t="s">
        <v>244</v>
      </c>
      <c r="D663" t="s">
        <v>189</v>
      </c>
      <c r="E663" t="s">
        <v>302</v>
      </c>
      <c r="F663" t="s">
        <v>224</v>
      </c>
    </row>
    <row r="664" spans="1:6" x14ac:dyDescent="0.35">
      <c r="A664" t="s">
        <v>9</v>
      </c>
      <c r="B664" t="s">
        <v>57</v>
      </c>
      <c r="C664" t="s">
        <v>266</v>
      </c>
      <c r="D664" t="s">
        <v>367</v>
      </c>
    </row>
    <row r="665" spans="1:6" x14ac:dyDescent="0.35">
      <c r="A665" t="s">
        <v>27</v>
      </c>
      <c r="B665" t="s">
        <v>29</v>
      </c>
      <c r="C665" t="s">
        <v>28</v>
      </c>
      <c r="D665" t="s">
        <v>9</v>
      </c>
      <c r="E665" t="s">
        <v>368</v>
      </c>
    </row>
    <row r="666" spans="1:6" x14ac:dyDescent="0.35">
      <c r="A666" t="s">
        <v>86</v>
      </c>
      <c r="B666" t="s">
        <v>24</v>
      </c>
      <c r="C666" t="s">
        <v>35</v>
      </c>
      <c r="D666" t="s">
        <v>32</v>
      </c>
    </row>
    <row r="667" spans="1:6" x14ac:dyDescent="0.35">
      <c r="A667" t="s">
        <v>152</v>
      </c>
    </row>
    <row r="668" spans="1:6" x14ac:dyDescent="0.35">
      <c r="A668" t="s">
        <v>27</v>
      </c>
    </row>
    <row r="669" spans="1:6" x14ac:dyDescent="0.35">
      <c r="A669" t="s">
        <v>94</v>
      </c>
      <c r="B669" t="s">
        <v>31</v>
      </c>
    </row>
    <row r="670" spans="1:6" x14ac:dyDescent="0.35">
      <c r="A670" t="s">
        <v>66</v>
      </c>
      <c r="B670" t="s">
        <v>369</v>
      </c>
    </row>
    <row r="671" spans="1:6" x14ac:dyDescent="0.35">
      <c r="A671" t="s">
        <v>15</v>
      </c>
      <c r="B671" t="s">
        <v>279</v>
      </c>
      <c r="C671" t="s">
        <v>18</v>
      </c>
    </row>
    <row r="672" spans="1:6" x14ac:dyDescent="0.35">
      <c r="A672" t="s">
        <v>9</v>
      </c>
      <c r="B672" t="s">
        <v>18</v>
      </c>
      <c r="C672" t="s">
        <v>35</v>
      </c>
    </row>
    <row r="673" spans="1:3" x14ac:dyDescent="0.35">
      <c r="A673" t="s">
        <v>370</v>
      </c>
      <c r="B673" t="s">
        <v>124</v>
      </c>
    </row>
    <row r="674" spans="1:3" x14ac:dyDescent="0.35">
      <c r="A674" t="s">
        <v>31</v>
      </c>
      <c r="B674" t="s">
        <v>18</v>
      </c>
      <c r="C674" t="s">
        <v>15</v>
      </c>
    </row>
    <row r="675" spans="1:3" x14ac:dyDescent="0.35">
      <c r="A675" t="s">
        <v>9</v>
      </c>
      <c r="B675" t="s">
        <v>268</v>
      </c>
      <c r="C675" t="s">
        <v>13</v>
      </c>
    </row>
    <row r="676" spans="1:3" x14ac:dyDescent="0.35">
      <c r="A676" t="s">
        <v>371</v>
      </c>
      <c r="B676" t="s">
        <v>372</v>
      </c>
    </row>
    <row r="677" spans="1:3" x14ac:dyDescent="0.35">
      <c r="A677" t="s">
        <v>15</v>
      </c>
    </row>
    <row r="678" spans="1:3" x14ac:dyDescent="0.35">
      <c r="A678" t="s">
        <v>85</v>
      </c>
    </row>
    <row r="679" spans="1:3" x14ac:dyDescent="0.35">
      <c r="A679" t="s">
        <v>35</v>
      </c>
      <c r="B679" t="s">
        <v>38</v>
      </c>
    </row>
    <row r="680" spans="1:3" x14ac:dyDescent="0.35">
      <c r="A680" t="s">
        <v>373</v>
      </c>
    </row>
    <row r="681" spans="1:3" x14ac:dyDescent="0.35">
      <c r="A681" t="s">
        <v>50</v>
      </c>
    </row>
    <row r="682" spans="1:3" x14ac:dyDescent="0.35">
      <c r="A682" t="s">
        <v>27</v>
      </c>
      <c r="B682" t="s">
        <v>11</v>
      </c>
    </row>
    <row r="683" spans="1:3" x14ac:dyDescent="0.35">
      <c r="A683" t="s">
        <v>96</v>
      </c>
      <c r="B683" t="s">
        <v>14</v>
      </c>
      <c r="C683" t="s">
        <v>35</v>
      </c>
    </row>
    <row r="684" spans="1:3" x14ac:dyDescent="0.35">
      <c r="A684" t="s">
        <v>264</v>
      </c>
      <c r="B684" t="s">
        <v>9</v>
      </c>
    </row>
    <row r="685" spans="1:3" x14ac:dyDescent="0.35">
      <c r="A685" t="s">
        <v>15</v>
      </c>
    </row>
    <row r="686" spans="1:3" x14ac:dyDescent="0.35">
      <c r="A686" t="s">
        <v>259</v>
      </c>
    </row>
    <row r="687" spans="1:3" x14ac:dyDescent="0.35">
      <c r="A687" t="s">
        <v>31</v>
      </c>
    </row>
    <row r="688" spans="1:3" x14ac:dyDescent="0.35">
      <c r="A688" t="s">
        <v>74</v>
      </c>
    </row>
    <row r="689" spans="1:6" x14ac:dyDescent="0.35">
      <c r="A689" t="s">
        <v>374</v>
      </c>
      <c r="B689" t="s">
        <v>375</v>
      </c>
    </row>
    <row r="690" spans="1:6" x14ac:dyDescent="0.35">
      <c r="A690" t="s">
        <v>29</v>
      </c>
      <c r="B690" t="s">
        <v>126</v>
      </c>
    </row>
    <row r="691" spans="1:6" x14ac:dyDescent="0.35">
      <c r="A691" t="s">
        <v>141</v>
      </c>
      <c r="B691" t="s">
        <v>131</v>
      </c>
    </row>
    <row r="692" spans="1:6" x14ac:dyDescent="0.35">
      <c r="A692" t="s">
        <v>27</v>
      </c>
      <c r="B692" t="s">
        <v>31</v>
      </c>
    </row>
    <row r="693" spans="1:6" x14ac:dyDescent="0.35">
      <c r="A693" t="s">
        <v>31</v>
      </c>
      <c r="B693" t="s">
        <v>35</v>
      </c>
      <c r="C693" t="s">
        <v>15</v>
      </c>
      <c r="D693" t="s">
        <v>18</v>
      </c>
    </row>
    <row r="694" spans="1:6" x14ac:dyDescent="0.35">
      <c r="A694" t="s">
        <v>35</v>
      </c>
      <c r="B694" t="s">
        <v>14</v>
      </c>
      <c r="C694" t="s">
        <v>189</v>
      </c>
    </row>
    <row r="695" spans="1:6" x14ac:dyDescent="0.35">
      <c r="A695" t="s">
        <v>32</v>
      </c>
      <c r="B695" t="s">
        <v>75</v>
      </c>
      <c r="C695" t="s">
        <v>24</v>
      </c>
      <c r="D695" t="s">
        <v>276</v>
      </c>
      <c r="E695" t="s">
        <v>86</v>
      </c>
      <c r="F695" t="s">
        <v>376</v>
      </c>
    </row>
    <row r="696" spans="1:6" x14ac:dyDescent="0.35">
      <c r="A696" t="s">
        <v>60</v>
      </c>
      <c r="B696" t="s">
        <v>15</v>
      </c>
      <c r="C696" t="s">
        <v>44</v>
      </c>
      <c r="D696" t="s">
        <v>21</v>
      </c>
    </row>
    <row r="697" spans="1:6" x14ac:dyDescent="0.35">
      <c r="A697" t="s">
        <v>18</v>
      </c>
      <c r="B697" t="s">
        <v>15</v>
      </c>
      <c r="C697" t="s">
        <v>31</v>
      </c>
    </row>
    <row r="698" spans="1:6" x14ac:dyDescent="0.35">
      <c r="A698" t="s">
        <v>31</v>
      </c>
      <c r="B698" t="s">
        <v>35</v>
      </c>
    </row>
    <row r="699" spans="1:6" x14ac:dyDescent="0.35">
      <c r="A699" t="s">
        <v>15</v>
      </c>
      <c r="B699" t="s">
        <v>297</v>
      </c>
    </row>
    <row r="700" spans="1:6" x14ac:dyDescent="0.35">
      <c r="A700" t="s">
        <v>377</v>
      </c>
    </row>
    <row r="701" spans="1:6" x14ac:dyDescent="0.35">
      <c r="A701" t="s">
        <v>29</v>
      </c>
      <c r="B701" t="s">
        <v>346</v>
      </c>
      <c r="C701" t="s">
        <v>27</v>
      </c>
      <c r="D701" t="s">
        <v>91</v>
      </c>
    </row>
    <row r="702" spans="1:6" x14ac:dyDescent="0.35">
      <c r="A702" t="s">
        <v>35</v>
      </c>
      <c r="B702" t="s">
        <v>31</v>
      </c>
      <c r="C702" t="s">
        <v>378</v>
      </c>
    </row>
    <row r="703" spans="1:6" x14ac:dyDescent="0.35">
      <c r="A703" t="s">
        <v>9</v>
      </c>
      <c r="B703" t="s">
        <v>30</v>
      </c>
      <c r="C703" t="s">
        <v>57</v>
      </c>
      <c r="D703" t="s">
        <v>151</v>
      </c>
    </row>
    <row r="704" spans="1:6" x14ac:dyDescent="0.35">
      <c r="A704" t="s">
        <v>35</v>
      </c>
    </row>
    <row r="705" spans="1:7" x14ac:dyDescent="0.35">
      <c r="A705" t="s">
        <v>189</v>
      </c>
    </row>
    <row r="706" spans="1:7" x14ac:dyDescent="0.35">
      <c r="A706" t="s">
        <v>379</v>
      </c>
      <c r="B706" t="s">
        <v>15</v>
      </c>
      <c r="C706" t="s">
        <v>18</v>
      </c>
    </row>
    <row r="707" spans="1:7" x14ac:dyDescent="0.35">
      <c r="A707" t="s">
        <v>15</v>
      </c>
      <c r="B707" t="s">
        <v>199</v>
      </c>
    </row>
    <row r="708" spans="1:7" x14ac:dyDescent="0.35">
      <c r="A708" t="s">
        <v>102</v>
      </c>
    </row>
    <row r="709" spans="1:7" x14ac:dyDescent="0.35">
      <c r="A709" t="s">
        <v>86</v>
      </c>
      <c r="B709" t="s">
        <v>15</v>
      </c>
      <c r="C709" t="s">
        <v>35</v>
      </c>
    </row>
    <row r="710" spans="1:7" x14ac:dyDescent="0.35">
      <c r="A710" t="s">
        <v>83</v>
      </c>
      <c r="B710" t="s">
        <v>10</v>
      </c>
      <c r="C710" t="s">
        <v>9</v>
      </c>
      <c r="D710" t="s">
        <v>380</v>
      </c>
      <c r="E710" t="s">
        <v>27</v>
      </c>
      <c r="F710" t="s">
        <v>189</v>
      </c>
      <c r="G710" t="s">
        <v>381</v>
      </c>
    </row>
    <row r="711" spans="1:7" x14ac:dyDescent="0.35">
      <c r="A711" t="s">
        <v>15</v>
      </c>
      <c r="B711" t="s">
        <v>20</v>
      </c>
    </row>
    <row r="712" spans="1:7" x14ac:dyDescent="0.35">
      <c r="A712" t="s">
        <v>94</v>
      </c>
      <c r="B712" t="s">
        <v>42</v>
      </c>
      <c r="C712" t="s">
        <v>24</v>
      </c>
    </row>
    <row r="713" spans="1:7" x14ac:dyDescent="0.35">
      <c r="A713" t="s">
        <v>35</v>
      </c>
      <c r="B713" t="s">
        <v>91</v>
      </c>
      <c r="C713" t="s">
        <v>382</v>
      </c>
      <c r="D713" t="s">
        <v>383</v>
      </c>
      <c r="E713" t="s">
        <v>29</v>
      </c>
    </row>
    <row r="714" spans="1:7" x14ac:dyDescent="0.35">
      <c r="A714" t="s">
        <v>27</v>
      </c>
      <c r="B714" t="s">
        <v>15</v>
      </c>
      <c r="C714" t="s">
        <v>126</v>
      </c>
      <c r="D714" t="s">
        <v>83</v>
      </c>
      <c r="E714" t="s">
        <v>384</v>
      </c>
      <c r="F714" t="s">
        <v>169</v>
      </c>
      <c r="G714" t="s">
        <v>30</v>
      </c>
    </row>
    <row r="715" spans="1:7" x14ac:dyDescent="0.35">
      <c r="A715" t="s">
        <v>9</v>
      </c>
      <c r="B715" t="s">
        <v>30</v>
      </c>
      <c r="C715" t="s">
        <v>18</v>
      </c>
    </row>
    <row r="716" spans="1:7" x14ac:dyDescent="0.35">
      <c r="A716" t="s">
        <v>31</v>
      </c>
    </row>
    <row r="717" spans="1:7" x14ac:dyDescent="0.35">
      <c r="A717" t="s">
        <v>11</v>
      </c>
      <c r="B717" t="s">
        <v>35</v>
      </c>
    </row>
    <row r="718" spans="1:7" x14ac:dyDescent="0.35">
      <c r="A718" t="s">
        <v>31</v>
      </c>
      <c r="B718" t="s">
        <v>35</v>
      </c>
      <c r="C718" t="s">
        <v>32</v>
      </c>
    </row>
    <row r="719" spans="1:7" x14ac:dyDescent="0.35">
      <c r="A719" t="s">
        <v>32</v>
      </c>
      <c r="B719" t="s">
        <v>31</v>
      </c>
      <c r="C719" t="s">
        <v>96</v>
      </c>
      <c r="D719" t="s">
        <v>180</v>
      </c>
    </row>
    <row r="720" spans="1:7" x14ac:dyDescent="0.35">
      <c r="A720" t="s">
        <v>15</v>
      </c>
      <c r="B720" t="s">
        <v>18</v>
      </c>
      <c r="C720" t="s">
        <v>20</v>
      </c>
    </row>
    <row r="721" spans="1:6" x14ac:dyDescent="0.35">
      <c r="A721" t="s">
        <v>9</v>
      </c>
    </row>
    <row r="722" spans="1:6" x14ac:dyDescent="0.35">
      <c r="A722" t="s">
        <v>18</v>
      </c>
      <c r="B722" t="s">
        <v>38</v>
      </c>
    </row>
    <row r="723" spans="1:6" x14ac:dyDescent="0.35">
      <c r="A723" t="s">
        <v>31</v>
      </c>
      <c r="B723" t="s">
        <v>27</v>
      </c>
    </row>
    <row r="724" spans="1:6" x14ac:dyDescent="0.35">
      <c r="A724" t="s">
        <v>103</v>
      </c>
      <c r="B724" t="s">
        <v>11</v>
      </c>
    </row>
    <row r="725" spans="1:6" x14ac:dyDescent="0.35">
      <c r="A725" t="s">
        <v>29</v>
      </c>
      <c r="B725" t="s">
        <v>27</v>
      </c>
    </row>
    <row r="726" spans="1:6" x14ac:dyDescent="0.35">
      <c r="A726" t="s">
        <v>15</v>
      </c>
      <c r="B726" t="s">
        <v>20</v>
      </c>
      <c r="C726" t="s">
        <v>232</v>
      </c>
      <c r="D726" t="s">
        <v>18</v>
      </c>
      <c r="E726" t="s">
        <v>266</v>
      </c>
      <c r="F726" t="s">
        <v>27</v>
      </c>
    </row>
    <row r="727" spans="1:6" x14ac:dyDescent="0.35">
      <c r="A727" t="s">
        <v>9</v>
      </c>
      <c r="B727" t="s">
        <v>57</v>
      </c>
      <c r="C727" t="s">
        <v>140</v>
      </c>
      <c r="D727" t="s">
        <v>141</v>
      </c>
    </row>
    <row r="728" spans="1:6" x14ac:dyDescent="0.35">
      <c r="A728" t="s">
        <v>126</v>
      </c>
    </row>
    <row r="729" spans="1:6" x14ac:dyDescent="0.35">
      <c r="A729" t="s">
        <v>27</v>
      </c>
    </row>
    <row r="730" spans="1:6" x14ac:dyDescent="0.35">
      <c r="A730" t="s">
        <v>15</v>
      </c>
      <c r="B730" t="s">
        <v>385</v>
      </c>
    </row>
    <row r="731" spans="1:6" x14ac:dyDescent="0.35">
      <c r="A731" t="s">
        <v>126</v>
      </c>
      <c r="B731" t="s">
        <v>9</v>
      </c>
    </row>
    <row r="732" spans="1:6" x14ac:dyDescent="0.35">
      <c r="A732" t="s">
        <v>161</v>
      </c>
    </row>
    <row r="733" spans="1:6" x14ac:dyDescent="0.35">
      <c r="A733" t="s">
        <v>386</v>
      </c>
    </row>
    <row r="734" spans="1:6" x14ac:dyDescent="0.35">
      <c r="A734" t="s">
        <v>387</v>
      </c>
    </row>
    <row r="735" spans="1:6" x14ac:dyDescent="0.35">
      <c r="A735" t="s">
        <v>27</v>
      </c>
      <c r="B735" t="s">
        <v>10</v>
      </c>
    </row>
    <row r="736" spans="1:6" x14ac:dyDescent="0.35">
      <c r="A736" t="s">
        <v>29</v>
      </c>
      <c r="B736" t="s">
        <v>35</v>
      </c>
    </row>
    <row r="737" spans="1:7" x14ac:dyDescent="0.35">
      <c r="A737" t="s">
        <v>15</v>
      </c>
    </row>
    <row r="738" spans="1:7" x14ac:dyDescent="0.35">
      <c r="A738" t="s">
        <v>18</v>
      </c>
    </row>
    <row r="739" spans="1:7" x14ac:dyDescent="0.35">
      <c r="A739" t="s">
        <v>11</v>
      </c>
      <c r="B739" t="s">
        <v>33</v>
      </c>
      <c r="C739" t="s">
        <v>173</v>
      </c>
    </row>
    <row r="740" spans="1:7" x14ac:dyDescent="0.35">
      <c r="A740" t="s">
        <v>15</v>
      </c>
      <c r="B740" t="s">
        <v>55</v>
      </c>
    </row>
    <row r="741" spans="1:7" x14ac:dyDescent="0.35">
      <c r="A741" t="s">
        <v>27</v>
      </c>
    </row>
    <row r="742" spans="1:7" x14ac:dyDescent="0.35">
      <c r="A742" t="s">
        <v>388</v>
      </c>
    </row>
    <row r="743" spans="1:7" x14ac:dyDescent="0.35">
      <c r="A743" t="s">
        <v>42</v>
      </c>
      <c r="B743" t="s">
        <v>15</v>
      </c>
      <c r="C743" t="s">
        <v>20</v>
      </c>
    </row>
    <row r="744" spans="1:7" x14ac:dyDescent="0.35">
      <c r="A744" t="s">
        <v>35</v>
      </c>
      <c r="B744" t="s">
        <v>32</v>
      </c>
      <c r="C744" t="s">
        <v>78</v>
      </c>
      <c r="D744" t="s">
        <v>389</v>
      </c>
      <c r="E744" t="s">
        <v>102</v>
      </c>
      <c r="F744" t="s">
        <v>15</v>
      </c>
      <c r="G744" t="s">
        <v>18</v>
      </c>
    </row>
    <row r="745" spans="1:7" x14ac:dyDescent="0.35">
      <c r="A745" t="s">
        <v>78</v>
      </c>
      <c r="B745" t="s">
        <v>35</v>
      </c>
    </row>
    <row r="746" spans="1:7" x14ac:dyDescent="0.35">
      <c r="A746" t="s">
        <v>15</v>
      </c>
      <c r="B746" t="s">
        <v>35</v>
      </c>
      <c r="C746" t="s">
        <v>390</v>
      </c>
      <c r="D746" t="s">
        <v>146</v>
      </c>
      <c r="E746" t="s">
        <v>20</v>
      </c>
      <c r="F746" t="s">
        <v>31</v>
      </c>
    </row>
    <row r="747" spans="1:7" x14ac:dyDescent="0.35">
      <c r="A747" t="s">
        <v>37</v>
      </c>
      <c r="B747" t="s">
        <v>391</v>
      </c>
    </row>
    <row r="748" spans="1:7" x14ac:dyDescent="0.35">
      <c r="A748" t="s">
        <v>18</v>
      </c>
      <c r="B748" t="s">
        <v>111</v>
      </c>
      <c r="C748" t="s">
        <v>15</v>
      </c>
      <c r="D748" t="s">
        <v>20</v>
      </c>
      <c r="E748" t="s">
        <v>392</v>
      </c>
    </row>
    <row r="749" spans="1:7" x14ac:dyDescent="0.35">
      <c r="A749" t="s">
        <v>15</v>
      </c>
      <c r="B749" t="s">
        <v>35</v>
      </c>
    </row>
    <row r="750" spans="1:7" x14ac:dyDescent="0.35">
      <c r="A750" t="s">
        <v>27</v>
      </c>
    </row>
    <row r="751" spans="1:7" x14ac:dyDescent="0.35">
      <c r="A751" t="s">
        <v>96</v>
      </c>
    </row>
    <row r="752" spans="1:7" x14ac:dyDescent="0.35">
      <c r="A752" t="s">
        <v>18</v>
      </c>
      <c r="B752" t="s">
        <v>44</v>
      </c>
      <c r="C752" t="s">
        <v>15</v>
      </c>
    </row>
    <row r="753" spans="1:7" x14ac:dyDescent="0.35">
      <c r="A753" t="s">
        <v>124</v>
      </c>
    </row>
    <row r="754" spans="1:7" x14ac:dyDescent="0.35">
      <c r="A754" t="s">
        <v>35</v>
      </c>
    </row>
    <row r="755" spans="1:7" x14ac:dyDescent="0.35">
      <c r="A755" t="s">
        <v>24</v>
      </c>
      <c r="B755" t="s">
        <v>32</v>
      </c>
      <c r="C755" t="s">
        <v>35</v>
      </c>
    </row>
    <row r="756" spans="1:7" x14ac:dyDescent="0.35">
      <c r="A756" t="s">
        <v>9</v>
      </c>
      <c r="B756" t="s">
        <v>57</v>
      </c>
      <c r="C756" t="s">
        <v>169</v>
      </c>
      <c r="D756" t="s">
        <v>211</v>
      </c>
      <c r="E756" t="s">
        <v>141</v>
      </c>
      <c r="F756" t="s">
        <v>131</v>
      </c>
      <c r="G756" t="s">
        <v>140</v>
      </c>
    </row>
    <row r="757" spans="1:7" x14ac:dyDescent="0.35">
      <c r="A757" t="s">
        <v>393</v>
      </c>
      <c r="B757" t="s">
        <v>394</v>
      </c>
    </row>
    <row r="758" spans="1:7" x14ac:dyDescent="0.35">
      <c r="A758" t="s">
        <v>338</v>
      </c>
      <c r="B758" t="s">
        <v>395</v>
      </c>
      <c r="C758" t="s">
        <v>42</v>
      </c>
      <c r="D758" t="s">
        <v>396</v>
      </c>
    </row>
    <row r="759" spans="1:7" x14ac:dyDescent="0.35">
      <c r="A759" t="s">
        <v>27</v>
      </c>
      <c r="B759" t="s">
        <v>397</v>
      </c>
    </row>
    <row r="760" spans="1:7" x14ac:dyDescent="0.35">
      <c r="A760" t="s">
        <v>29</v>
      </c>
      <c r="B760" t="s">
        <v>35</v>
      </c>
      <c r="C760" t="s">
        <v>91</v>
      </c>
      <c r="D760" t="s">
        <v>37</v>
      </c>
    </row>
    <row r="761" spans="1:7" x14ac:dyDescent="0.35">
      <c r="A761" t="s">
        <v>15</v>
      </c>
      <c r="B761" t="s">
        <v>57</v>
      </c>
      <c r="C761" t="s">
        <v>18</v>
      </c>
      <c r="D761" t="s">
        <v>42</v>
      </c>
    </row>
    <row r="762" spans="1:7" x14ac:dyDescent="0.35">
      <c r="A762" t="s">
        <v>9</v>
      </c>
      <c r="B762" t="s">
        <v>10</v>
      </c>
      <c r="C762" t="s">
        <v>61</v>
      </c>
    </row>
    <row r="763" spans="1:7" x14ac:dyDescent="0.35">
      <c r="A763" t="s">
        <v>32</v>
      </c>
      <c r="B763" t="s">
        <v>35</v>
      </c>
      <c r="C763" t="s">
        <v>50</v>
      </c>
    </row>
    <row r="764" spans="1:7" x14ac:dyDescent="0.35">
      <c r="A764" t="s">
        <v>15</v>
      </c>
      <c r="B764" t="s">
        <v>18</v>
      </c>
    </row>
    <row r="765" spans="1:7" x14ac:dyDescent="0.35">
      <c r="A765" t="s">
        <v>141</v>
      </c>
    </row>
    <row r="766" spans="1:7" x14ac:dyDescent="0.35">
      <c r="A766" t="s">
        <v>195</v>
      </c>
      <c r="B766" t="s">
        <v>29</v>
      </c>
      <c r="C766" t="s">
        <v>59</v>
      </c>
      <c r="D766" t="s">
        <v>398</v>
      </c>
    </row>
    <row r="767" spans="1:7" x14ac:dyDescent="0.35">
      <c r="A767" t="s">
        <v>35</v>
      </c>
    </row>
    <row r="768" spans="1:7" x14ac:dyDescent="0.35">
      <c r="A768" t="s">
        <v>103</v>
      </c>
      <c r="B768" t="s">
        <v>102</v>
      </c>
      <c r="C768" t="s">
        <v>346</v>
      </c>
    </row>
    <row r="769" spans="1:7" x14ac:dyDescent="0.35">
      <c r="A769" t="s">
        <v>94</v>
      </c>
    </row>
    <row r="770" spans="1:7" x14ac:dyDescent="0.35">
      <c r="A770" t="s">
        <v>27</v>
      </c>
      <c r="B770" t="s">
        <v>11</v>
      </c>
    </row>
    <row r="771" spans="1:7" x14ac:dyDescent="0.35">
      <c r="A771" t="s">
        <v>31</v>
      </c>
    </row>
    <row r="772" spans="1:7" x14ac:dyDescent="0.35">
      <c r="A772" t="s">
        <v>37</v>
      </c>
    </row>
    <row r="773" spans="1:7" x14ac:dyDescent="0.35">
      <c r="A773" t="s">
        <v>42</v>
      </c>
    </row>
    <row r="774" spans="1:7" x14ac:dyDescent="0.35">
      <c r="A774" t="s">
        <v>106</v>
      </c>
      <c r="B774" t="s">
        <v>120</v>
      </c>
    </row>
    <row r="775" spans="1:7" x14ac:dyDescent="0.35">
      <c r="A775" t="s">
        <v>399</v>
      </c>
    </row>
    <row r="776" spans="1:7" x14ac:dyDescent="0.35">
      <c r="A776" t="s">
        <v>18</v>
      </c>
      <c r="B776" t="s">
        <v>42</v>
      </c>
      <c r="C776" t="s">
        <v>400</v>
      </c>
      <c r="D776" t="s">
        <v>141</v>
      </c>
      <c r="E776" t="s">
        <v>401</v>
      </c>
    </row>
    <row r="777" spans="1:7" x14ac:dyDescent="0.35">
      <c r="A777" t="s">
        <v>29</v>
      </c>
      <c r="B777" t="s">
        <v>91</v>
      </c>
      <c r="C777" t="s">
        <v>27</v>
      </c>
    </row>
    <row r="778" spans="1:7" x14ac:dyDescent="0.35">
      <c r="A778" t="s">
        <v>124</v>
      </c>
      <c r="B778" t="s">
        <v>394</v>
      </c>
    </row>
    <row r="779" spans="1:7" x14ac:dyDescent="0.35">
      <c r="A779" t="s">
        <v>97</v>
      </c>
    </row>
    <row r="780" spans="1:7" x14ac:dyDescent="0.35">
      <c r="A780" t="s">
        <v>35</v>
      </c>
    </row>
    <row r="781" spans="1:7" x14ac:dyDescent="0.35">
      <c r="A781" t="s">
        <v>9</v>
      </c>
      <c r="B781" t="s">
        <v>402</v>
      </c>
      <c r="C781" t="s">
        <v>60</v>
      </c>
      <c r="D781" t="s">
        <v>266</v>
      </c>
      <c r="E781" t="s">
        <v>265</v>
      </c>
      <c r="F781" t="s">
        <v>403</v>
      </c>
      <c r="G781" t="s">
        <v>49</v>
      </c>
    </row>
    <row r="782" spans="1:7" x14ac:dyDescent="0.35">
      <c r="A782" t="s">
        <v>35</v>
      </c>
    </row>
    <row r="783" spans="1:7" x14ac:dyDescent="0.35">
      <c r="A783" t="s">
        <v>124</v>
      </c>
      <c r="B783" t="s">
        <v>273</v>
      </c>
    </row>
    <row r="784" spans="1:7" x14ac:dyDescent="0.35">
      <c r="A784" t="s">
        <v>94</v>
      </c>
      <c r="B784" t="s">
        <v>404</v>
      </c>
      <c r="C784" t="s">
        <v>14</v>
      </c>
    </row>
    <row r="785" spans="1:2" x14ac:dyDescent="0.35">
      <c r="A785" t="s">
        <v>27</v>
      </c>
    </row>
    <row r="786" spans="1:2" x14ac:dyDescent="0.35">
      <c r="A786" t="s">
        <v>85</v>
      </c>
      <c r="B786" t="s">
        <v>24</v>
      </c>
    </row>
    <row r="787" spans="1:2" x14ac:dyDescent="0.35">
      <c r="A787" t="s">
        <v>35</v>
      </c>
    </row>
    <row r="788" spans="1:2" x14ac:dyDescent="0.35">
      <c r="A788" t="s">
        <v>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3"/>
  <sheetViews>
    <sheetView workbookViewId="0"/>
  </sheetViews>
  <sheetFormatPr defaultRowHeight="14.5" x14ac:dyDescent="0.35"/>
  <cols>
    <col min="1" max="3" width="30.7265625" customWidth="1"/>
  </cols>
  <sheetData>
    <row r="1" spans="1:2" s="3" customFormat="1" x14ac:dyDescent="0.35">
      <c r="A1" s="4" t="str">
        <f>HYPERLINK("#Tabulka!A335","Jaký pocit ze značky **Telly** máte?")</f>
        <v>Jaký pocit ze značky **Telly** máte?</v>
      </c>
    </row>
    <row r="2" spans="1:2" x14ac:dyDescent="0.35">
      <c r="A2" t="s">
        <v>628</v>
      </c>
      <c r="B2" t="s">
        <v>629</v>
      </c>
    </row>
    <row r="3" spans="1:2" x14ac:dyDescent="0.35">
      <c r="A3" t="s">
        <v>630</v>
      </c>
      <c r="B3" t="s">
        <v>631</v>
      </c>
    </row>
    <row r="4" spans="1:2" x14ac:dyDescent="0.35">
      <c r="A4" t="s">
        <v>632</v>
      </c>
      <c r="B4" t="s">
        <v>633</v>
      </c>
    </row>
    <row r="5" spans="1:2" x14ac:dyDescent="0.35">
      <c r="A5" t="s">
        <v>630</v>
      </c>
      <c r="B5" t="s">
        <v>634</v>
      </c>
    </row>
    <row r="6" spans="1:2" x14ac:dyDescent="0.35">
      <c r="A6" t="s">
        <v>628</v>
      </c>
      <c r="B6" t="s">
        <v>635</v>
      </c>
    </row>
    <row r="7" spans="1:2" x14ac:dyDescent="0.35">
      <c r="A7" t="s">
        <v>630</v>
      </c>
      <c r="B7" t="s">
        <v>636</v>
      </c>
    </row>
    <row r="8" spans="1:2" x14ac:dyDescent="0.35">
      <c r="A8" t="s">
        <v>637</v>
      </c>
      <c r="B8" t="s">
        <v>638</v>
      </c>
    </row>
    <row r="9" spans="1:2" x14ac:dyDescent="0.35">
      <c r="A9" t="s">
        <v>630</v>
      </c>
      <c r="B9" t="s">
        <v>639</v>
      </c>
    </row>
    <row r="10" spans="1:2" x14ac:dyDescent="0.35">
      <c r="A10" t="s">
        <v>637</v>
      </c>
      <c r="B10" t="s">
        <v>640</v>
      </c>
    </row>
    <row r="11" spans="1:2" x14ac:dyDescent="0.35">
      <c r="A11" t="s">
        <v>630</v>
      </c>
      <c r="B11" t="s">
        <v>641</v>
      </c>
    </row>
    <row r="12" spans="1:2" x14ac:dyDescent="0.35">
      <c r="A12" t="s">
        <v>637</v>
      </c>
      <c r="B12" t="s">
        <v>642</v>
      </c>
    </row>
    <row r="13" spans="1:2" x14ac:dyDescent="0.35">
      <c r="A13" t="s">
        <v>637</v>
      </c>
      <c r="B13" t="s">
        <v>643</v>
      </c>
    </row>
    <row r="14" spans="1:2" x14ac:dyDescent="0.35">
      <c r="A14" t="s">
        <v>637</v>
      </c>
      <c r="B14" t="s">
        <v>644</v>
      </c>
    </row>
    <row r="15" spans="1:2" x14ac:dyDescent="0.35">
      <c r="A15" t="s">
        <v>637</v>
      </c>
      <c r="B15" t="s">
        <v>645</v>
      </c>
    </row>
    <row r="16" spans="1:2" x14ac:dyDescent="0.35">
      <c r="A16" t="s">
        <v>646</v>
      </c>
      <c r="B16" t="s">
        <v>647</v>
      </c>
    </row>
    <row r="17" spans="1:2" x14ac:dyDescent="0.35">
      <c r="A17" t="s">
        <v>630</v>
      </c>
      <c r="B17" t="s">
        <v>648</v>
      </c>
    </row>
    <row r="18" spans="1:2" x14ac:dyDescent="0.35">
      <c r="A18" t="s">
        <v>637</v>
      </c>
      <c r="B18" t="s">
        <v>649</v>
      </c>
    </row>
    <row r="19" spans="1:2" x14ac:dyDescent="0.35">
      <c r="A19" t="s">
        <v>630</v>
      </c>
      <c r="B19" t="s">
        <v>650</v>
      </c>
    </row>
    <row r="20" spans="1:2" x14ac:dyDescent="0.35">
      <c r="A20" t="s">
        <v>632</v>
      </c>
      <c r="B20" t="s">
        <v>651</v>
      </c>
    </row>
    <row r="21" spans="1:2" x14ac:dyDescent="0.35">
      <c r="A21" t="s">
        <v>637</v>
      </c>
      <c r="B21" t="s">
        <v>652</v>
      </c>
    </row>
    <row r="22" spans="1:2" x14ac:dyDescent="0.35">
      <c r="A22" t="s">
        <v>637</v>
      </c>
      <c r="B22" t="s">
        <v>653</v>
      </c>
    </row>
    <row r="23" spans="1:2" x14ac:dyDescent="0.35">
      <c r="A23" t="s">
        <v>632</v>
      </c>
      <c r="B23" t="s">
        <v>654</v>
      </c>
    </row>
    <row r="24" spans="1:2" x14ac:dyDescent="0.35">
      <c r="A24" t="s">
        <v>637</v>
      </c>
      <c r="B24" t="s">
        <v>655</v>
      </c>
    </row>
    <row r="25" spans="1:2" x14ac:dyDescent="0.35">
      <c r="A25" t="s">
        <v>637</v>
      </c>
      <c r="B25" t="s">
        <v>656</v>
      </c>
    </row>
    <row r="26" spans="1:2" x14ac:dyDescent="0.35">
      <c r="A26" t="s">
        <v>637</v>
      </c>
      <c r="B26" t="s">
        <v>657</v>
      </c>
    </row>
    <row r="27" spans="1:2" x14ac:dyDescent="0.35">
      <c r="A27" t="s">
        <v>637</v>
      </c>
      <c r="B27" t="s">
        <v>658</v>
      </c>
    </row>
    <row r="28" spans="1:2" x14ac:dyDescent="0.35">
      <c r="A28" t="s">
        <v>632</v>
      </c>
      <c r="B28" t="s">
        <v>659</v>
      </c>
    </row>
    <row r="29" spans="1:2" x14ac:dyDescent="0.35">
      <c r="A29" t="s">
        <v>637</v>
      </c>
      <c r="B29" t="s">
        <v>660</v>
      </c>
    </row>
    <row r="30" spans="1:2" x14ac:dyDescent="0.35">
      <c r="A30" t="s">
        <v>637</v>
      </c>
      <c r="B30" t="s">
        <v>661</v>
      </c>
    </row>
    <row r="31" spans="1:2" x14ac:dyDescent="0.35">
      <c r="A31" t="s">
        <v>632</v>
      </c>
      <c r="B31" t="s">
        <v>662</v>
      </c>
    </row>
    <row r="32" spans="1:2" x14ac:dyDescent="0.35">
      <c r="A32" t="s">
        <v>630</v>
      </c>
      <c r="B32" t="s">
        <v>663</v>
      </c>
    </row>
    <row r="33" spans="1:2" x14ac:dyDescent="0.35">
      <c r="A33" t="s">
        <v>630</v>
      </c>
      <c r="B33" t="s">
        <v>664</v>
      </c>
    </row>
    <row r="34" spans="1:2" x14ac:dyDescent="0.35">
      <c r="A34" t="s">
        <v>630</v>
      </c>
      <c r="B34" t="s">
        <v>665</v>
      </c>
    </row>
    <row r="35" spans="1:2" x14ac:dyDescent="0.35">
      <c r="A35" t="s">
        <v>628</v>
      </c>
      <c r="B35" t="s">
        <v>666</v>
      </c>
    </row>
    <row r="36" spans="1:2" x14ac:dyDescent="0.35">
      <c r="A36" t="s">
        <v>637</v>
      </c>
      <c r="B36" t="s">
        <v>667</v>
      </c>
    </row>
    <row r="37" spans="1:2" x14ac:dyDescent="0.35">
      <c r="A37" t="s">
        <v>637</v>
      </c>
      <c r="B37" t="s">
        <v>668</v>
      </c>
    </row>
    <row r="38" spans="1:2" x14ac:dyDescent="0.35">
      <c r="A38" t="s">
        <v>637</v>
      </c>
      <c r="B38" t="s">
        <v>669</v>
      </c>
    </row>
    <row r="39" spans="1:2" x14ac:dyDescent="0.35">
      <c r="A39" t="s">
        <v>637</v>
      </c>
      <c r="B39" t="s">
        <v>670</v>
      </c>
    </row>
    <row r="40" spans="1:2" x14ac:dyDescent="0.35">
      <c r="A40" t="s">
        <v>637</v>
      </c>
      <c r="B40" t="s">
        <v>671</v>
      </c>
    </row>
    <row r="41" spans="1:2" x14ac:dyDescent="0.35">
      <c r="A41" t="s">
        <v>632</v>
      </c>
      <c r="B41" t="s">
        <v>672</v>
      </c>
    </row>
    <row r="42" spans="1:2" x14ac:dyDescent="0.35">
      <c r="A42" t="s">
        <v>630</v>
      </c>
      <c r="B42" t="s">
        <v>673</v>
      </c>
    </row>
    <row r="43" spans="1:2" x14ac:dyDescent="0.35">
      <c r="A43" t="s">
        <v>637</v>
      </c>
      <c r="B43" t="s">
        <v>674</v>
      </c>
    </row>
    <row r="44" spans="1:2" x14ac:dyDescent="0.35">
      <c r="A44" t="s">
        <v>637</v>
      </c>
      <c r="B44" t="s">
        <v>675</v>
      </c>
    </row>
    <row r="45" spans="1:2" x14ac:dyDescent="0.35">
      <c r="A45" t="s">
        <v>628</v>
      </c>
      <c r="B45" t="s">
        <v>676</v>
      </c>
    </row>
    <row r="46" spans="1:2" x14ac:dyDescent="0.35">
      <c r="A46" t="s">
        <v>632</v>
      </c>
      <c r="B46" t="s">
        <v>677</v>
      </c>
    </row>
    <row r="47" spans="1:2" x14ac:dyDescent="0.35">
      <c r="A47" t="s">
        <v>630</v>
      </c>
      <c r="B47" t="s">
        <v>678</v>
      </c>
    </row>
    <row r="48" spans="1:2" x14ac:dyDescent="0.35">
      <c r="A48" t="s">
        <v>637</v>
      </c>
      <c r="B48" t="s">
        <v>679</v>
      </c>
    </row>
    <row r="49" spans="1:2" x14ac:dyDescent="0.35">
      <c r="A49" t="s">
        <v>637</v>
      </c>
      <c r="B49" t="s">
        <v>680</v>
      </c>
    </row>
    <row r="50" spans="1:2" x14ac:dyDescent="0.35">
      <c r="A50" t="s">
        <v>637</v>
      </c>
      <c r="B50" t="s">
        <v>681</v>
      </c>
    </row>
    <row r="51" spans="1:2" x14ac:dyDescent="0.35">
      <c r="A51" t="s">
        <v>637</v>
      </c>
      <c r="B51" t="s">
        <v>682</v>
      </c>
    </row>
    <row r="52" spans="1:2" x14ac:dyDescent="0.35">
      <c r="A52" t="s">
        <v>637</v>
      </c>
      <c r="B52" t="s">
        <v>683</v>
      </c>
    </row>
    <row r="53" spans="1:2" x14ac:dyDescent="0.35">
      <c r="A53" t="s">
        <v>632</v>
      </c>
      <c r="B53" t="s">
        <v>684</v>
      </c>
    </row>
    <row r="54" spans="1:2" x14ac:dyDescent="0.35">
      <c r="A54" t="s">
        <v>630</v>
      </c>
      <c r="B54" t="s">
        <v>685</v>
      </c>
    </row>
    <row r="55" spans="1:2" x14ac:dyDescent="0.35">
      <c r="A55" t="s">
        <v>632</v>
      </c>
      <c r="B55" t="s">
        <v>492</v>
      </c>
    </row>
    <row r="56" spans="1:2" x14ac:dyDescent="0.35">
      <c r="A56" t="s">
        <v>637</v>
      </c>
      <c r="B56" t="s">
        <v>686</v>
      </c>
    </row>
    <row r="57" spans="1:2" x14ac:dyDescent="0.35">
      <c r="A57" t="s">
        <v>637</v>
      </c>
      <c r="B57" t="s">
        <v>657</v>
      </c>
    </row>
    <row r="58" spans="1:2" x14ac:dyDescent="0.35">
      <c r="A58" t="s">
        <v>637</v>
      </c>
      <c r="B58" t="s">
        <v>687</v>
      </c>
    </row>
    <row r="59" spans="1:2" x14ac:dyDescent="0.35">
      <c r="A59" t="s">
        <v>637</v>
      </c>
      <c r="B59" t="s">
        <v>661</v>
      </c>
    </row>
    <row r="60" spans="1:2" x14ac:dyDescent="0.35">
      <c r="A60" t="s">
        <v>630</v>
      </c>
      <c r="B60" t="s">
        <v>650</v>
      </c>
    </row>
    <row r="61" spans="1:2" x14ac:dyDescent="0.35">
      <c r="A61" t="s">
        <v>637</v>
      </c>
      <c r="B61" t="s">
        <v>688</v>
      </c>
    </row>
    <row r="62" spans="1:2" x14ac:dyDescent="0.35">
      <c r="A62" t="s">
        <v>646</v>
      </c>
      <c r="B62" t="s">
        <v>689</v>
      </c>
    </row>
    <row r="63" spans="1:2" x14ac:dyDescent="0.35">
      <c r="A63" t="s">
        <v>628</v>
      </c>
      <c r="B63" t="s">
        <v>690</v>
      </c>
    </row>
    <row r="64" spans="1:2" x14ac:dyDescent="0.35">
      <c r="A64" t="s">
        <v>637</v>
      </c>
      <c r="B64" t="s">
        <v>686</v>
      </c>
    </row>
    <row r="65" spans="1:2" x14ac:dyDescent="0.35">
      <c r="A65" t="s">
        <v>630</v>
      </c>
      <c r="B65" t="s">
        <v>691</v>
      </c>
    </row>
    <row r="66" spans="1:2" x14ac:dyDescent="0.35">
      <c r="A66" t="s">
        <v>637</v>
      </c>
      <c r="B66" t="s">
        <v>692</v>
      </c>
    </row>
    <row r="67" spans="1:2" x14ac:dyDescent="0.35">
      <c r="A67" t="s">
        <v>630</v>
      </c>
      <c r="B67" t="s">
        <v>693</v>
      </c>
    </row>
    <row r="68" spans="1:2" x14ac:dyDescent="0.35">
      <c r="A68" t="s">
        <v>637</v>
      </c>
      <c r="B68" t="s">
        <v>694</v>
      </c>
    </row>
    <row r="69" spans="1:2" x14ac:dyDescent="0.35">
      <c r="A69" t="s">
        <v>637</v>
      </c>
      <c r="B69" t="s">
        <v>695</v>
      </c>
    </row>
    <row r="70" spans="1:2" x14ac:dyDescent="0.35">
      <c r="A70" t="s">
        <v>628</v>
      </c>
      <c r="B70" t="s">
        <v>696</v>
      </c>
    </row>
    <row r="71" spans="1:2" x14ac:dyDescent="0.35">
      <c r="A71" t="s">
        <v>637</v>
      </c>
      <c r="B71" t="s">
        <v>697</v>
      </c>
    </row>
    <row r="72" spans="1:2" x14ac:dyDescent="0.35">
      <c r="A72" t="s">
        <v>630</v>
      </c>
      <c r="B72" t="s">
        <v>698</v>
      </c>
    </row>
    <row r="73" spans="1:2" x14ac:dyDescent="0.35">
      <c r="A73" t="s">
        <v>630</v>
      </c>
      <c r="B73" t="s">
        <v>699</v>
      </c>
    </row>
    <row r="74" spans="1:2" x14ac:dyDescent="0.35">
      <c r="A74" t="s">
        <v>637</v>
      </c>
      <c r="B74" t="s">
        <v>700</v>
      </c>
    </row>
    <row r="75" spans="1:2" x14ac:dyDescent="0.35">
      <c r="A75" t="s">
        <v>630</v>
      </c>
      <c r="B75" t="s">
        <v>690</v>
      </c>
    </row>
    <row r="76" spans="1:2" x14ac:dyDescent="0.35">
      <c r="A76" t="s">
        <v>637</v>
      </c>
      <c r="B76" t="s">
        <v>701</v>
      </c>
    </row>
    <row r="77" spans="1:2" x14ac:dyDescent="0.35">
      <c r="A77" t="s">
        <v>630</v>
      </c>
      <c r="B77" t="s">
        <v>702</v>
      </c>
    </row>
    <row r="78" spans="1:2" x14ac:dyDescent="0.35">
      <c r="A78" t="s">
        <v>637</v>
      </c>
      <c r="B78" t="s">
        <v>703</v>
      </c>
    </row>
    <row r="79" spans="1:2" x14ac:dyDescent="0.35">
      <c r="A79" t="s">
        <v>632</v>
      </c>
      <c r="B79" t="s">
        <v>704</v>
      </c>
    </row>
    <row r="80" spans="1:2" x14ac:dyDescent="0.35">
      <c r="A80" t="s">
        <v>630</v>
      </c>
      <c r="B80" t="s">
        <v>678</v>
      </c>
    </row>
    <row r="81" spans="1:2" x14ac:dyDescent="0.35">
      <c r="A81" t="s">
        <v>637</v>
      </c>
      <c r="B81" t="s">
        <v>705</v>
      </c>
    </row>
    <row r="82" spans="1:2" x14ac:dyDescent="0.35">
      <c r="A82" t="s">
        <v>637</v>
      </c>
      <c r="B82" t="s">
        <v>706</v>
      </c>
    </row>
    <row r="83" spans="1:2" x14ac:dyDescent="0.35">
      <c r="A83" t="s">
        <v>630</v>
      </c>
      <c r="B83" t="s">
        <v>707</v>
      </c>
    </row>
    <row r="84" spans="1:2" x14ac:dyDescent="0.35">
      <c r="A84" t="s">
        <v>637</v>
      </c>
      <c r="B84" t="s">
        <v>708</v>
      </c>
    </row>
    <row r="85" spans="1:2" x14ac:dyDescent="0.35">
      <c r="A85" t="s">
        <v>628</v>
      </c>
      <c r="B85" t="s">
        <v>709</v>
      </c>
    </row>
    <row r="86" spans="1:2" x14ac:dyDescent="0.35">
      <c r="A86" t="s">
        <v>637</v>
      </c>
      <c r="B86" t="s">
        <v>710</v>
      </c>
    </row>
    <row r="87" spans="1:2" x14ac:dyDescent="0.35">
      <c r="A87" t="s">
        <v>637</v>
      </c>
      <c r="B87" t="s">
        <v>711</v>
      </c>
    </row>
    <row r="88" spans="1:2" x14ac:dyDescent="0.35">
      <c r="A88" t="s">
        <v>630</v>
      </c>
      <c r="B88" t="s">
        <v>712</v>
      </c>
    </row>
    <row r="89" spans="1:2" x14ac:dyDescent="0.35">
      <c r="A89" t="s">
        <v>646</v>
      </c>
      <c r="B89" t="s">
        <v>713</v>
      </c>
    </row>
    <row r="90" spans="1:2" x14ac:dyDescent="0.35">
      <c r="A90" t="s">
        <v>637</v>
      </c>
      <c r="B90" t="s">
        <v>714</v>
      </c>
    </row>
    <row r="91" spans="1:2" x14ac:dyDescent="0.35">
      <c r="A91" t="s">
        <v>637</v>
      </c>
      <c r="B91" t="s">
        <v>715</v>
      </c>
    </row>
    <row r="92" spans="1:2" x14ac:dyDescent="0.35">
      <c r="A92" t="s">
        <v>637</v>
      </c>
      <c r="B92" t="s">
        <v>716</v>
      </c>
    </row>
    <row r="93" spans="1:2" x14ac:dyDescent="0.35">
      <c r="A93" t="s">
        <v>637</v>
      </c>
      <c r="B93" t="s">
        <v>657</v>
      </c>
    </row>
    <row r="94" spans="1:2" x14ac:dyDescent="0.35">
      <c r="A94" t="s">
        <v>646</v>
      </c>
      <c r="B94" t="s">
        <v>717</v>
      </c>
    </row>
    <row r="95" spans="1:2" x14ac:dyDescent="0.35">
      <c r="A95" t="s">
        <v>646</v>
      </c>
      <c r="B95" t="s">
        <v>718</v>
      </c>
    </row>
    <row r="96" spans="1:2" x14ac:dyDescent="0.35">
      <c r="A96" t="s">
        <v>628</v>
      </c>
      <c r="B96" t="s">
        <v>719</v>
      </c>
    </row>
    <row r="97" spans="1:2" x14ac:dyDescent="0.35">
      <c r="A97" t="s">
        <v>637</v>
      </c>
      <c r="B97" t="s">
        <v>656</v>
      </c>
    </row>
    <row r="98" spans="1:2" x14ac:dyDescent="0.35">
      <c r="A98" t="s">
        <v>637</v>
      </c>
      <c r="B98" t="s">
        <v>664</v>
      </c>
    </row>
    <row r="99" spans="1:2" x14ac:dyDescent="0.35">
      <c r="A99" t="s">
        <v>637</v>
      </c>
      <c r="B99" t="s">
        <v>720</v>
      </c>
    </row>
    <row r="100" spans="1:2" x14ac:dyDescent="0.35">
      <c r="A100" t="s">
        <v>628</v>
      </c>
      <c r="B100" t="s">
        <v>721</v>
      </c>
    </row>
    <row r="101" spans="1:2" x14ac:dyDescent="0.35">
      <c r="A101" t="s">
        <v>637</v>
      </c>
      <c r="B101" t="s">
        <v>722</v>
      </c>
    </row>
    <row r="102" spans="1:2" x14ac:dyDescent="0.35">
      <c r="A102" t="s">
        <v>637</v>
      </c>
      <c r="B102" t="s">
        <v>723</v>
      </c>
    </row>
    <row r="103" spans="1:2" x14ac:dyDescent="0.35">
      <c r="A103" t="s">
        <v>637</v>
      </c>
      <c r="B103" t="s">
        <v>724</v>
      </c>
    </row>
    <row r="104" spans="1:2" x14ac:dyDescent="0.35">
      <c r="A104" t="s">
        <v>630</v>
      </c>
      <c r="B104" t="s">
        <v>725</v>
      </c>
    </row>
    <row r="105" spans="1:2" x14ac:dyDescent="0.35">
      <c r="A105" t="s">
        <v>637</v>
      </c>
      <c r="B105" t="s">
        <v>670</v>
      </c>
    </row>
    <row r="106" spans="1:2" x14ac:dyDescent="0.35">
      <c r="A106" t="s">
        <v>637</v>
      </c>
      <c r="B106" t="s">
        <v>726</v>
      </c>
    </row>
    <row r="107" spans="1:2" x14ac:dyDescent="0.35">
      <c r="A107" t="s">
        <v>637</v>
      </c>
      <c r="B107" t="s">
        <v>727</v>
      </c>
    </row>
    <row r="108" spans="1:2" x14ac:dyDescent="0.35">
      <c r="A108" t="s">
        <v>630</v>
      </c>
      <c r="B108" t="s">
        <v>728</v>
      </c>
    </row>
    <row r="109" spans="1:2" x14ac:dyDescent="0.35">
      <c r="A109" t="s">
        <v>630</v>
      </c>
      <c r="B109" t="s">
        <v>729</v>
      </c>
    </row>
    <row r="110" spans="1:2" x14ac:dyDescent="0.35">
      <c r="A110" t="s">
        <v>632</v>
      </c>
      <c r="B110" t="s">
        <v>730</v>
      </c>
    </row>
    <row r="111" spans="1:2" x14ac:dyDescent="0.35">
      <c r="A111" t="s">
        <v>637</v>
      </c>
      <c r="B111" t="s">
        <v>731</v>
      </c>
    </row>
    <row r="112" spans="1:2" x14ac:dyDescent="0.35">
      <c r="A112" t="s">
        <v>630</v>
      </c>
      <c r="B112" t="s">
        <v>732</v>
      </c>
    </row>
    <row r="113" spans="1:2" x14ac:dyDescent="0.35">
      <c r="A113" t="s">
        <v>637</v>
      </c>
      <c r="B113" t="s">
        <v>733</v>
      </c>
    </row>
    <row r="114" spans="1:2" x14ac:dyDescent="0.35">
      <c r="A114" t="s">
        <v>637</v>
      </c>
      <c r="B114" t="s">
        <v>686</v>
      </c>
    </row>
    <row r="115" spans="1:2" x14ac:dyDescent="0.35">
      <c r="A115" t="s">
        <v>637</v>
      </c>
      <c r="B115" t="s">
        <v>670</v>
      </c>
    </row>
    <row r="116" spans="1:2" x14ac:dyDescent="0.35">
      <c r="A116" t="s">
        <v>637</v>
      </c>
      <c r="B116" t="s">
        <v>734</v>
      </c>
    </row>
    <row r="117" spans="1:2" x14ac:dyDescent="0.35">
      <c r="A117" t="s">
        <v>630</v>
      </c>
      <c r="B117" t="s">
        <v>735</v>
      </c>
    </row>
    <row r="118" spans="1:2" x14ac:dyDescent="0.35">
      <c r="A118" t="s">
        <v>630</v>
      </c>
      <c r="B118" t="s">
        <v>736</v>
      </c>
    </row>
    <row r="119" spans="1:2" x14ac:dyDescent="0.35">
      <c r="A119" t="s">
        <v>637</v>
      </c>
      <c r="B119" t="s">
        <v>737</v>
      </c>
    </row>
    <row r="120" spans="1:2" x14ac:dyDescent="0.35">
      <c r="A120" t="s">
        <v>637</v>
      </c>
      <c r="B120" t="s">
        <v>738</v>
      </c>
    </row>
    <row r="121" spans="1:2" x14ac:dyDescent="0.35">
      <c r="A121" t="s">
        <v>646</v>
      </c>
      <c r="B121" t="s">
        <v>739</v>
      </c>
    </row>
    <row r="122" spans="1:2" x14ac:dyDescent="0.35">
      <c r="A122" t="s">
        <v>637</v>
      </c>
      <c r="B122" t="s">
        <v>740</v>
      </c>
    </row>
    <row r="123" spans="1:2" x14ac:dyDescent="0.35">
      <c r="A123" t="s">
        <v>637</v>
      </c>
      <c r="B123" t="s">
        <v>741</v>
      </c>
    </row>
    <row r="124" spans="1:2" x14ac:dyDescent="0.35">
      <c r="A124" t="s">
        <v>637</v>
      </c>
      <c r="B124" t="s">
        <v>742</v>
      </c>
    </row>
    <row r="125" spans="1:2" x14ac:dyDescent="0.35">
      <c r="A125" t="s">
        <v>632</v>
      </c>
      <c r="B125" t="s">
        <v>743</v>
      </c>
    </row>
    <row r="126" spans="1:2" x14ac:dyDescent="0.35">
      <c r="A126" t="s">
        <v>637</v>
      </c>
      <c r="B126" t="s">
        <v>744</v>
      </c>
    </row>
    <row r="127" spans="1:2" x14ac:dyDescent="0.35">
      <c r="A127" t="s">
        <v>637</v>
      </c>
      <c r="B127" t="s">
        <v>671</v>
      </c>
    </row>
    <row r="128" spans="1:2" x14ac:dyDescent="0.35">
      <c r="A128" t="s">
        <v>630</v>
      </c>
      <c r="B128" t="s">
        <v>745</v>
      </c>
    </row>
    <row r="129" spans="1:2" x14ac:dyDescent="0.35">
      <c r="A129" t="s">
        <v>637</v>
      </c>
      <c r="B129" t="s">
        <v>664</v>
      </c>
    </row>
    <row r="130" spans="1:2" x14ac:dyDescent="0.35">
      <c r="A130" t="s">
        <v>637</v>
      </c>
      <c r="B130" t="s">
        <v>746</v>
      </c>
    </row>
    <row r="131" spans="1:2" x14ac:dyDescent="0.35">
      <c r="A131" t="s">
        <v>637</v>
      </c>
      <c r="B131" t="s">
        <v>686</v>
      </c>
    </row>
    <row r="132" spans="1:2" x14ac:dyDescent="0.35">
      <c r="A132" t="s">
        <v>628</v>
      </c>
      <c r="B132" t="s">
        <v>747</v>
      </c>
    </row>
    <row r="133" spans="1:2" x14ac:dyDescent="0.35">
      <c r="A133" t="s">
        <v>637</v>
      </c>
      <c r="B133" t="s">
        <v>748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80"/>
  <sheetViews>
    <sheetView workbookViewId="0"/>
  </sheetViews>
  <sheetFormatPr defaultRowHeight="14.5" x14ac:dyDescent="0.35"/>
  <cols>
    <col min="1" max="3" width="30.7265625" customWidth="1"/>
  </cols>
  <sheetData>
    <row r="1" spans="1:2" s="3" customFormat="1" x14ac:dyDescent="0.35">
      <c r="A1" s="4" t="str">
        <f>HYPERLINK("#Tabulka!A366","Jaký pocit ze značky **Skylink** máte?")</f>
        <v>Jaký pocit ze značky **Skylink** máte?</v>
      </c>
    </row>
    <row r="2" spans="1:2" x14ac:dyDescent="0.35">
      <c r="A2" t="s">
        <v>630</v>
      </c>
      <c r="B2" t="s">
        <v>754</v>
      </c>
    </row>
    <row r="3" spans="1:2" x14ac:dyDescent="0.35">
      <c r="A3" t="s">
        <v>637</v>
      </c>
      <c r="B3" t="s">
        <v>755</v>
      </c>
    </row>
    <row r="4" spans="1:2" x14ac:dyDescent="0.35">
      <c r="A4" t="s">
        <v>637</v>
      </c>
      <c r="B4" t="s">
        <v>710</v>
      </c>
    </row>
    <row r="5" spans="1:2" x14ac:dyDescent="0.35">
      <c r="A5" t="s">
        <v>628</v>
      </c>
      <c r="B5" t="s">
        <v>756</v>
      </c>
    </row>
    <row r="6" spans="1:2" x14ac:dyDescent="0.35">
      <c r="A6" t="s">
        <v>637</v>
      </c>
      <c r="B6" t="s">
        <v>757</v>
      </c>
    </row>
    <row r="7" spans="1:2" x14ac:dyDescent="0.35">
      <c r="A7" t="s">
        <v>632</v>
      </c>
      <c r="B7" t="s">
        <v>758</v>
      </c>
    </row>
    <row r="8" spans="1:2" x14ac:dyDescent="0.35">
      <c r="A8" t="s">
        <v>630</v>
      </c>
      <c r="B8" t="s">
        <v>759</v>
      </c>
    </row>
    <row r="9" spans="1:2" x14ac:dyDescent="0.35">
      <c r="A9" t="s">
        <v>628</v>
      </c>
      <c r="B9" t="s">
        <v>760</v>
      </c>
    </row>
    <row r="10" spans="1:2" x14ac:dyDescent="0.35">
      <c r="A10" t="s">
        <v>637</v>
      </c>
      <c r="B10" t="s">
        <v>761</v>
      </c>
    </row>
    <row r="11" spans="1:2" x14ac:dyDescent="0.35">
      <c r="A11" t="s">
        <v>630</v>
      </c>
      <c r="B11" t="s">
        <v>762</v>
      </c>
    </row>
    <row r="12" spans="1:2" x14ac:dyDescent="0.35">
      <c r="A12" t="s">
        <v>630</v>
      </c>
      <c r="B12" t="s">
        <v>763</v>
      </c>
    </row>
    <row r="13" spans="1:2" x14ac:dyDescent="0.35">
      <c r="A13" t="s">
        <v>632</v>
      </c>
      <c r="B13" t="s">
        <v>764</v>
      </c>
    </row>
    <row r="14" spans="1:2" x14ac:dyDescent="0.35">
      <c r="A14" t="s">
        <v>630</v>
      </c>
      <c r="B14" t="s">
        <v>765</v>
      </c>
    </row>
    <row r="15" spans="1:2" x14ac:dyDescent="0.35">
      <c r="A15" t="s">
        <v>637</v>
      </c>
      <c r="B15" t="s">
        <v>631</v>
      </c>
    </row>
    <row r="16" spans="1:2" x14ac:dyDescent="0.35">
      <c r="A16" t="s">
        <v>628</v>
      </c>
      <c r="B16" t="s">
        <v>766</v>
      </c>
    </row>
    <row r="17" spans="1:2" x14ac:dyDescent="0.35">
      <c r="A17" t="s">
        <v>637</v>
      </c>
      <c r="B17" t="s">
        <v>767</v>
      </c>
    </row>
    <row r="18" spans="1:2" x14ac:dyDescent="0.35">
      <c r="A18" t="s">
        <v>630</v>
      </c>
      <c r="B18" t="s">
        <v>768</v>
      </c>
    </row>
    <row r="19" spans="1:2" x14ac:dyDescent="0.35">
      <c r="A19" t="s">
        <v>630</v>
      </c>
      <c r="B19" t="s">
        <v>769</v>
      </c>
    </row>
    <row r="20" spans="1:2" x14ac:dyDescent="0.35">
      <c r="A20" t="s">
        <v>637</v>
      </c>
      <c r="B20" t="s">
        <v>770</v>
      </c>
    </row>
    <row r="21" spans="1:2" x14ac:dyDescent="0.35">
      <c r="A21" t="s">
        <v>628</v>
      </c>
      <c r="B21" t="s">
        <v>771</v>
      </c>
    </row>
    <row r="22" spans="1:2" x14ac:dyDescent="0.35">
      <c r="A22" t="s">
        <v>630</v>
      </c>
      <c r="B22" t="s">
        <v>772</v>
      </c>
    </row>
    <row r="23" spans="1:2" x14ac:dyDescent="0.35">
      <c r="A23" t="s">
        <v>630</v>
      </c>
      <c r="B23" t="s">
        <v>773</v>
      </c>
    </row>
    <row r="24" spans="1:2" x14ac:dyDescent="0.35">
      <c r="A24" t="s">
        <v>637</v>
      </c>
      <c r="B24" t="s">
        <v>774</v>
      </c>
    </row>
    <row r="25" spans="1:2" x14ac:dyDescent="0.35">
      <c r="A25" t="s">
        <v>646</v>
      </c>
      <c r="B25" t="s">
        <v>775</v>
      </c>
    </row>
    <row r="26" spans="1:2" x14ac:dyDescent="0.35">
      <c r="A26" t="s">
        <v>637</v>
      </c>
      <c r="B26" t="s">
        <v>776</v>
      </c>
    </row>
    <row r="27" spans="1:2" x14ac:dyDescent="0.35">
      <c r="A27" t="s">
        <v>637</v>
      </c>
      <c r="B27" t="s">
        <v>777</v>
      </c>
    </row>
    <row r="28" spans="1:2" x14ac:dyDescent="0.35">
      <c r="A28" t="s">
        <v>630</v>
      </c>
      <c r="B28" t="s">
        <v>778</v>
      </c>
    </row>
    <row r="29" spans="1:2" x14ac:dyDescent="0.35">
      <c r="A29" t="s">
        <v>632</v>
      </c>
      <c r="B29" t="s">
        <v>779</v>
      </c>
    </row>
    <row r="30" spans="1:2" x14ac:dyDescent="0.35">
      <c r="A30" t="s">
        <v>630</v>
      </c>
      <c r="B30" t="s">
        <v>650</v>
      </c>
    </row>
    <row r="31" spans="1:2" x14ac:dyDescent="0.35">
      <c r="A31" t="s">
        <v>637</v>
      </c>
      <c r="B31" t="s">
        <v>780</v>
      </c>
    </row>
    <row r="32" spans="1:2" x14ac:dyDescent="0.35">
      <c r="A32" t="s">
        <v>628</v>
      </c>
      <c r="B32" t="s">
        <v>781</v>
      </c>
    </row>
    <row r="33" spans="1:2" x14ac:dyDescent="0.35">
      <c r="A33" t="s">
        <v>630</v>
      </c>
      <c r="B33" t="s">
        <v>782</v>
      </c>
    </row>
    <row r="34" spans="1:2" x14ac:dyDescent="0.35">
      <c r="A34" t="s">
        <v>628</v>
      </c>
      <c r="B34" t="s">
        <v>783</v>
      </c>
    </row>
    <row r="35" spans="1:2" x14ac:dyDescent="0.35">
      <c r="A35" t="s">
        <v>637</v>
      </c>
      <c r="B35" t="s">
        <v>784</v>
      </c>
    </row>
    <row r="36" spans="1:2" x14ac:dyDescent="0.35">
      <c r="A36" t="s">
        <v>637</v>
      </c>
      <c r="B36" t="s">
        <v>785</v>
      </c>
    </row>
    <row r="37" spans="1:2" x14ac:dyDescent="0.35">
      <c r="A37" t="s">
        <v>630</v>
      </c>
      <c r="B37" t="s">
        <v>786</v>
      </c>
    </row>
    <row r="38" spans="1:2" x14ac:dyDescent="0.35">
      <c r="A38" t="s">
        <v>630</v>
      </c>
      <c r="B38" t="s">
        <v>787</v>
      </c>
    </row>
    <row r="39" spans="1:2" x14ac:dyDescent="0.35">
      <c r="A39" t="s">
        <v>630</v>
      </c>
      <c r="B39" t="s">
        <v>788</v>
      </c>
    </row>
    <row r="40" spans="1:2" x14ac:dyDescent="0.35">
      <c r="A40" t="s">
        <v>637</v>
      </c>
      <c r="B40" t="s">
        <v>789</v>
      </c>
    </row>
    <row r="41" spans="1:2" x14ac:dyDescent="0.35">
      <c r="A41" t="s">
        <v>637</v>
      </c>
      <c r="B41" t="s">
        <v>730</v>
      </c>
    </row>
    <row r="42" spans="1:2" x14ac:dyDescent="0.35">
      <c r="A42" t="s">
        <v>637</v>
      </c>
      <c r="B42" t="s">
        <v>767</v>
      </c>
    </row>
    <row r="43" spans="1:2" x14ac:dyDescent="0.35">
      <c r="A43" t="s">
        <v>630</v>
      </c>
      <c r="B43" t="s">
        <v>741</v>
      </c>
    </row>
    <row r="44" spans="1:2" x14ac:dyDescent="0.35">
      <c r="A44" t="s">
        <v>630</v>
      </c>
      <c r="B44" t="s">
        <v>771</v>
      </c>
    </row>
    <row r="45" spans="1:2" x14ac:dyDescent="0.35">
      <c r="A45" t="s">
        <v>637</v>
      </c>
      <c r="B45" t="s">
        <v>790</v>
      </c>
    </row>
    <row r="46" spans="1:2" x14ac:dyDescent="0.35">
      <c r="A46" t="s">
        <v>628</v>
      </c>
      <c r="B46" t="s">
        <v>791</v>
      </c>
    </row>
    <row r="47" spans="1:2" x14ac:dyDescent="0.35">
      <c r="A47" t="s">
        <v>646</v>
      </c>
      <c r="B47" t="s">
        <v>792</v>
      </c>
    </row>
    <row r="48" spans="1:2" x14ac:dyDescent="0.35">
      <c r="A48" t="s">
        <v>637</v>
      </c>
      <c r="B48" t="s">
        <v>653</v>
      </c>
    </row>
    <row r="49" spans="1:2" x14ac:dyDescent="0.35">
      <c r="A49" t="s">
        <v>637</v>
      </c>
      <c r="B49" t="s">
        <v>793</v>
      </c>
    </row>
    <row r="50" spans="1:2" x14ac:dyDescent="0.35">
      <c r="A50" t="s">
        <v>630</v>
      </c>
      <c r="B50" t="s">
        <v>794</v>
      </c>
    </row>
    <row r="51" spans="1:2" x14ac:dyDescent="0.35">
      <c r="A51" t="s">
        <v>637</v>
      </c>
      <c r="B51" t="s">
        <v>711</v>
      </c>
    </row>
    <row r="52" spans="1:2" x14ac:dyDescent="0.35">
      <c r="A52" t="s">
        <v>628</v>
      </c>
      <c r="B52" t="s">
        <v>678</v>
      </c>
    </row>
    <row r="53" spans="1:2" x14ac:dyDescent="0.35">
      <c r="A53" t="s">
        <v>637</v>
      </c>
      <c r="B53" t="s">
        <v>795</v>
      </c>
    </row>
    <row r="54" spans="1:2" x14ac:dyDescent="0.35">
      <c r="A54" t="s">
        <v>637</v>
      </c>
      <c r="B54" t="s">
        <v>796</v>
      </c>
    </row>
    <row r="55" spans="1:2" x14ac:dyDescent="0.35">
      <c r="A55" t="s">
        <v>637</v>
      </c>
      <c r="B55" t="s">
        <v>656</v>
      </c>
    </row>
    <row r="56" spans="1:2" x14ac:dyDescent="0.35">
      <c r="A56" t="s">
        <v>637</v>
      </c>
      <c r="B56" t="s">
        <v>657</v>
      </c>
    </row>
    <row r="57" spans="1:2" x14ac:dyDescent="0.35">
      <c r="A57" t="s">
        <v>630</v>
      </c>
      <c r="B57" t="s">
        <v>797</v>
      </c>
    </row>
    <row r="58" spans="1:2" x14ac:dyDescent="0.35">
      <c r="A58" t="s">
        <v>637</v>
      </c>
      <c r="B58" t="s">
        <v>798</v>
      </c>
    </row>
    <row r="59" spans="1:2" x14ac:dyDescent="0.35">
      <c r="A59" t="s">
        <v>637</v>
      </c>
      <c r="B59" t="s">
        <v>658</v>
      </c>
    </row>
    <row r="60" spans="1:2" x14ac:dyDescent="0.35">
      <c r="A60" t="s">
        <v>637</v>
      </c>
      <c r="B60" t="s">
        <v>799</v>
      </c>
    </row>
    <row r="61" spans="1:2" x14ac:dyDescent="0.35">
      <c r="A61" t="s">
        <v>628</v>
      </c>
      <c r="B61" t="s">
        <v>800</v>
      </c>
    </row>
    <row r="62" spans="1:2" x14ac:dyDescent="0.35">
      <c r="A62" t="s">
        <v>630</v>
      </c>
      <c r="B62" t="s">
        <v>801</v>
      </c>
    </row>
    <row r="63" spans="1:2" x14ac:dyDescent="0.35">
      <c r="A63" t="s">
        <v>637</v>
      </c>
      <c r="B63" t="s">
        <v>802</v>
      </c>
    </row>
    <row r="64" spans="1:2" x14ac:dyDescent="0.35">
      <c r="A64" t="s">
        <v>630</v>
      </c>
      <c r="B64" t="s">
        <v>803</v>
      </c>
    </row>
    <row r="65" spans="1:2" x14ac:dyDescent="0.35">
      <c r="A65" t="s">
        <v>637</v>
      </c>
      <c r="B65" t="s">
        <v>804</v>
      </c>
    </row>
    <row r="66" spans="1:2" x14ac:dyDescent="0.35">
      <c r="A66" t="s">
        <v>632</v>
      </c>
      <c r="B66" t="s">
        <v>805</v>
      </c>
    </row>
    <row r="67" spans="1:2" x14ac:dyDescent="0.35">
      <c r="A67" t="s">
        <v>630</v>
      </c>
      <c r="B67" t="s">
        <v>806</v>
      </c>
    </row>
    <row r="68" spans="1:2" x14ac:dyDescent="0.35">
      <c r="A68" t="s">
        <v>637</v>
      </c>
      <c r="B68" t="s">
        <v>807</v>
      </c>
    </row>
    <row r="69" spans="1:2" x14ac:dyDescent="0.35">
      <c r="A69" t="s">
        <v>630</v>
      </c>
      <c r="B69" t="s">
        <v>768</v>
      </c>
    </row>
    <row r="70" spans="1:2" x14ac:dyDescent="0.35">
      <c r="A70" t="s">
        <v>646</v>
      </c>
      <c r="B70" t="s">
        <v>378</v>
      </c>
    </row>
    <row r="71" spans="1:2" x14ac:dyDescent="0.35">
      <c r="A71" t="s">
        <v>637</v>
      </c>
      <c r="B71" t="s">
        <v>808</v>
      </c>
    </row>
    <row r="72" spans="1:2" x14ac:dyDescent="0.35">
      <c r="A72" t="s">
        <v>628</v>
      </c>
      <c r="B72" t="s">
        <v>748</v>
      </c>
    </row>
    <row r="73" spans="1:2" x14ac:dyDescent="0.35">
      <c r="A73" t="s">
        <v>632</v>
      </c>
      <c r="B73" t="s">
        <v>662</v>
      </c>
    </row>
    <row r="74" spans="1:2" x14ac:dyDescent="0.35">
      <c r="A74" t="s">
        <v>637</v>
      </c>
      <c r="B74" t="s">
        <v>728</v>
      </c>
    </row>
    <row r="75" spans="1:2" x14ac:dyDescent="0.35">
      <c r="A75" t="s">
        <v>630</v>
      </c>
      <c r="B75" t="s">
        <v>664</v>
      </c>
    </row>
    <row r="76" spans="1:2" x14ac:dyDescent="0.35">
      <c r="A76" t="s">
        <v>630</v>
      </c>
      <c r="B76" t="s">
        <v>809</v>
      </c>
    </row>
    <row r="77" spans="1:2" x14ac:dyDescent="0.35">
      <c r="A77" t="s">
        <v>637</v>
      </c>
      <c r="B77" t="s">
        <v>810</v>
      </c>
    </row>
    <row r="78" spans="1:2" x14ac:dyDescent="0.35">
      <c r="A78" t="s">
        <v>637</v>
      </c>
      <c r="B78" t="s">
        <v>811</v>
      </c>
    </row>
    <row r="79" spans="1:2" x14ac:dyDescent="0.35">
      <c r="A79" t="s">
        <v>646</v>
      </c>
      <c r="B79" t="s">
        <v>812</v>
      </c>
    </row>
    <row r="80" spans="1:2" x14ac:dyDescent="0.35">
      <c r="A80" t="s">
        <v>637</v>
      </c>
      <c r="B80" t="s">
        <v>674</v>
      </c>
    </row>
    <row r="81" spans="1:2" x14ac:dyDescent="0.35">
      <c r="A81" t="s">
        <v>637</v>
      </c>
      <c r="B81" t="s">
        <v>813</v>
      </c>
    </row>
    <row r="82" spans="1:2" x14ac:dyDescent="0.35">
      <c r="A82" t="s">
        <v>637</v>
      </c>
      <c r="B82" t="s">
        <v>814</v>
      </c>
    </row>
    <row r="83" spans="1:2" x14ac:dyDescent="0.35">
      <c r="A83" t="s">
        <v>632</v>
      </c>
      <c r="B83" t="s">
        <v>815</v>
      </c>
    </row>
    <row r="84" spans="1:2" x14ac:dyDescent="0.35">
      <c r="A84" t="s">
        <v>646</v>
      </c>
      <c r="B84" t="s">
        <v>816</v>
      </c>
    </row>
    <row r="85" spans="1:2" x14ac:dyDescent="0.35">
      <c r="A85" t="s">
        <v>637</v>
      </c>
      <c r="B85" t="s">
        <v>686</v>
      </c>
    </row>
    <row r="86" spans="1:2" x14ac:dyDescent="0.35">
      <c r="A86" t="s">
        <v>637</v>
      </c>
      <c r="B86" t="s">
        <v>645</v>
      </c>
    </row>
    <row r="87" spans="1:2" x14ac:dyDescent="0.35">
      <c r="A87" t="s">
        <v>630</v>
      </c>
      <c r="B87" t="s">
        <v>817</v>
      </c>
    </row>
    <row r="88" spans="1:2" x14ac:dyDescent="0.35">
      <c r="A88" t="s">
        <v>630</v>
      </c>
      <c r="B88" t="s">
        <v>818</v>
      </c>
    </row>
    <row r="89" spans="1:2" x14ac:dyDescent="0.35">
      <c r="A89" t="s">
        <v>630</v>
      </c>
      <c r="B89" t="s">
        <v>819</v>
      </c>
    </row>
    <row r="90" spans="1:2" x14ac:dyDescent="0.35">
      <c r="A90" t="s">
        <v>637</v>
      </c>
      <c r="B90" t="s">
        <v>820</v>
      </c>
    </row>
    <row r="91" spans="1:2" x14ac:dyDescent="0.35">
      <c r="A91" t="s">
        <v>637</v>
      </c>
      <c r="B91" t="s">
        <v>668</v>
      </c>
    </row>
    <row r="92" spans="1:2" x14ac:dyDescent="0.35">
      <c r="A92" t="s">
        <v>637</v>
      </c>
      <c r="B92" t="s">
        <v>821</v>
      </c>
    </row>
    <row r="93" spans="1:2" x14ac:dyDescent="0.35">
      <c r="A93" t="s">
        <v>632</v>
      </c>
      <c r="B93" t="s">
        <v>815</v>
      </c>
    </row>
    <row r="94" spans="1:2" x14ac:dyDescent="0.35">
      <c r="A94" t="s">
        <v>637</v>
      </c>
      <c r="B94" t="s">
        <v>822</v>
      </c>
    </row>
    <row r="95" spans="1:2" x14ac:dyDescent="0.35">
      <c r="A95" t="s">
        <v>637</v>
      </c>
      <c r="B95" t="s">
        <v>823</v>
      </c>
    </row>
    <row r="96" spans="1:2" x14ac:dyDescent="0.35">
      <c r="A96" t="s">
        <v>637</v>
      </c>
      <c r="B96" t="s">
        <v>824</v>
      </c>
    </row>
    <row r="97" spans="1:2" x14ac:dyDescent="0.35">
      <c r="A97" t="s">
        <v>630</v>
      </c>
      <c r="B97" t="s">
        <v>825</v>
      </c>
    </row>
    <row r="98" spans="1:2" x14ac:dyDescent="0.35">
      <c r="A98" t="s">
        <v>630</v>
      </c>
      <c r="B98" t="s">
        <v>826</v>
      </c>
    </row>
    <row r="99" spans="1:2" x14ac:dyDescent="0.35">
      <c r="A99" t="s">
        <v>637</v>
      </c>
      <c r="B99" t="s">
        <v>671</v>
      </c>
    </row>
    <row r="100" spans="1:2" x14ac:dyDescent="0.35">
      <c r="A100" t="s">
        <v>637</v>
      </c>
      <c r="B100" t="s">
        <v>827</v>
      </c>
    </row>
    <row r="101" spans="1:2" x14ac:dyDescent="0.35">
      <c r="A101" t="s">
        <v>628</v>
      </c>
      <c r="B101" t="s">
        <v>828</v>
      </c>
    </row>
    <row r="102" spans="1:2" x14ac:dyDescent="0.35">
      <c r="A102" t="s">
        <v>646</v>
      </c>
      <c r="B102" t="s">
        <v>829</v>
      </c>
    </row>
    <row r="103" spans="1:2" x14ac:dyDescent="0.35">
      <c r="A103" t="s">
        <v>637</v>
      </c>
      <c r="B103" t="s">
        <v>830</v>
      </c>
    </row>
    <row r="104" spans="1:2" x14ac:dyDescent="0.35">
      <c r="A104" t="s">
        <v>630</v>
      </c>
      <c r="B104" t="s">
        <v>831</v>
      </c>
    </row>
    <row r="105" spans="1:2" x14ac:dyDescent="0.35">
      <c r="A105" t="s">
        <v>637</v>
      </c>
      <c r="B105" t="s">
        <v>832</v>
      </c>
    </row>
    <row r="106" spans="1:2" x14ac:dyDescent="0.35">
      <c r="A106" t="s">
        <v>637</v>
      </c>
      <c r="B106" t="s">
        <v>708</v>
      </c>
    </row>
    <row r="107" spans="1:2" x14ac:dyDescent="0.35">
      <c r="A107" t="s">
        <v>646</v>
      </c>
      <c r="B107" t="s">
        <v>833</v>
      </c>
    </row>
    <row r="108" spans="1:2" x14ac:dyDescent="0.35">
      <c r="A108" t="s">
        <v>637</v>
      </c>
      <c r="B108" t="s">
        <v>770</v>
      </c>
    </row>
    <row r="109" spans="1:2" x14ac:dyDescent="0.35">
      <c r="A109" t="s">
        <v>630</v>
      </c>
      <c r="B109" t="s">
        <v>834</v>
      </c>
    </row>
    <row r="110" spans="1:2" x14ac:dyDescent="0.35">
      <c r="A110" t="s">
        <v>630</v>
      </c>
      <c r="B110" t="s">
        <v>835</v>
      </c>
    </row>
    <row r="111" spans="1:2" x14ac:dyDescent="0.35">
      <c r="A111" t="s">
        <v>646</v>
      </c>
      <c r="B111" t="s">
        <v>836</v>
      </c>
    </row>
    <row r="112" spans="1:2" x14ac:dyDescent="0.35">
      <c r="A112" t="s">
        <v>637</v>
      </c>
      <c r="B112" t="s">
        <v>837</v>
      </c>
    </row>
    <row r="113" spans="1:2" x14ac:dyDescent="0.35">
      <c r="A113" t="s">
        <v>637</v>
      </c>
      <c r="B113" t="s">
        <v>838</v>
      </c>
    </row>
    <row r="114" spans="1:2" x14ac:dyDescent="0.35">
      <c r="A114" t="s">
        <v>630</v>
      </c>
      <c r="B114" t="s">
        <v>839</v>
      </c>
    </row>
    <row r="115" spans="1:2" x14ac:dyDescent="0.35">
      <c r="A115" t="s">
        <v>632</v>
      </c>
      <c r="B115" t="s">
        <v>840</v>
      </c>
    </row>
    <row r="116" spans="1:2" x14ac:dyDescent="0.35">
      <c r="A116" t="s">
        <v>630</v>
      </c>
      <c r="B116" t="s">
        <v>841</v>
      </c>
    </row>
    <row r="117" spans="1:2" x14ac:dyDescent="0.35">
      <c r="A117" t="s">
        <v>630</v>
      </c>
      <c r="B117" t="s">
        <v>842</v>
      </c>
    </row>
    <row r="118" spans="1:2" x14ac:dyDescent="0.35">
      <c r="A118" t="s">
        <v>637</v>
      </c>
      <c r="B118" t="s">
        <v>843</v>
      </c>
    </row>
    <row r="119" spans="1:2" x14ac:dyDescent="0.35">
      <c r="A119" t="s">
        <v>628</v>
      </c>
      <c r="B119" t="s">
        <v>844</v>
      </c>
    </row>
    <row r="120" spans="1:2" x14ac:dyDescent="0.35">
      <c r="A120" t="s">
        <v>637</v>
      </c>
      <c r="B120" t="s">
        <v>161</v>
      </c>
    </row>
    <row r="121" spans="1:2" x14ac:dyDescent="0.35">
      <c r="A121" t="s">
        <v>646</v>
      </c>
      <c r="B121" t="s">
        <v>845</v>
      </c>
    </row>
    <row r="122" spans="1:2" x14ac:dyDescent="0.35">
      <c r="A122" t="s">
        <v>628</v>
      </c>
      <c r="B122" t="s">
        <v>846</v>
      </c>
    </row>
    <row r="123" spans="1:2" x14ac:dyDescent="0.35">
      <c r="A123" t="s">
        <v>630</v>
      </c>
      <c r="B123" t="s">
        <v>847</v>
      </c>
    </row>
    <row r="124" spans="1:2" x14ac:dyDescent="0.35">
      <c r="A124" t="s">
        <v>632</v>
      </c>
      <c r="B124" t="s">
        <v>848</v>
      </c>
    </row>
    <row r="125" spans="1:2" x14ac:dyDescent="0.35">
      <c r="A125" t="s">
        <v>630</v>
      </c>
      <c r="B125" t="s">
        <v>678</v>
      </c>
    </row>
    <row r="126" spans="1:2" x14ac:dyDescent="0.35">
      <c r="A126" t="s">
        <v>637</v>
      </c>
      <c r="B126" t="s">
        <v>849</v>
      </c>
    </row>
    <row r="127" spans="1:2" x14ac:dyDescent="0.35">
      <c r="A127" t="s">
        <v>637</v>
      </c>
      <c r="B127" t="s">
        <v>850</v>
      </c>
    </row>
    <row r="128" spans="1:2" x14ac:dyDescent="0.35">
      <c r="A128" t="s">
        <v>637</v>
      </c>
      <c r="B128" t="s">
        <v>851</v>
      </c>
    </row>
    <row r="129" spans="1:2" x14ac:dyDescent="0.35">
      <c r="A129" t="s">
        <v>637</v>
      </c>
      <c r="B129" t="s">
        <v>852</v>
      </c>
    </row>
    <row r="130" spans="1:2" x14ac:dyDescent="0.35">
      <c r="A130" t="s">
        <v>637</v>
      </c>
      <c r="B130" t="s">
        <v>853</v>
      </c>
    </row>
    <row r="131" spans="1:2" x14ac:dyDescent="0.35">
      <c r="A131" t="s">
        <v>637</v>
      </c>
      <c r="B131" t="s">
        <v>854</v>
      </c>
    </row>
    <row r="132" spans="1:2" x14ac:dyDescent="0.35">
      <c r="A132" t="s">
        <v>637</v>
      </c>
      <c r="B132" t="s">
        <v>855</v>
      </c>
    </row>
    <row r="133" spans="1:2" x14ac:dyDescent="0.35">
      <c r="A133" t="s">
        <v>628</v>
      </c>
      <c r="B133" t="s">
        <v>856</v>
      </c>
    </row>
    <row r="134" spans="1:2" x14ac:dyDescent="0.35">
      <c r="A134" t="s">
        <v>630</v>
      </c>
      <c r="B134" t="s">
        <v>857</v>
      </c>
    </row>
    <row r="135" spans="1:2" x14ac:dyDescent="0.35">
      <c r="A135" t="s">
        <v>632</v>
      </c>
      <c r="B135" t="s">
        <v>858</v>
      </c>
    </row>
    <row r="136" spans="1:2" x14ac:dyDescent="0.35">
      <c r="A136" t="s">
        <v>632</v>
      </c>
      <c r="B136" t="s">
        <v>859</v>
      </c>
    </row>
    <row r="137" spans="1:2" x14ac:dyDescent="0.35">
      <c r="A137" t="s">
        <v>630</v>
      </c>
      <c r="B137" t="s">
        <v>770</v>
      </c>
    </row>
    <row r="138" spans="1:2" x14ac:dyDescent="0.35">
      <c r="A138" t="s">
        <v>632</v>
      </c>
      <c r="B138" t="s">
        <v>860</v>
      </c>
    </row>
    <row r="139" spans="1:2" x14ac:dyDescent="0.35">
      <c r="A139" t="s">
        <v>646</v>
      </c>
      <c r="B139" t="s">
        <v>815</v>
      </c>
    </row>
    <row r="140" spans="1:2" x14ac:dyDescent="0.35">
      <c r="A140" t="s">
        <v>637</v>
      </c>
      <c r="B140" t="s">
        <v>861</v>
      </c>
    </row>
    <row r="141" spans="1:2" x14ac:dyDescent="0.35">
      <c r="A141" t="s">
        <v>628</v>
      </c>
      <c r="B141" t="s">
        <v>862</v>
      </c>
    </row>
    <row r="142" spans="1:2" x14ac:dyDescent="0.35">
      <c r="A142" t="s">
        <v>637</v>
      </c>
      <c r="B142" t="s">
        <v>681</v>
      </c>
    </row>
    <row r="143" spans="1:2" x14ac:dyDescent="0.35">
      <c r="A143" t="s">
        <v>628</v>
      </c>
      <c r="B143" t="s">
        <v>863</v>
      </c>
    </row>
    <row r="144" spans="1:2" x14ac:dyDescent="0.35">
      <c r="A144" t="s">
        <v>637</v>
      </c>
      <c r="B144" t="s">
        <v>864</v>
      </c>
    </row>
    <row r="145" spans="1:2" x14ac:dyDescent="0.35">
      <c r="A145" t="s">
        <v>630</v>
      </c>
      <c r="B145" t="s">
        <v>865</v>
      </c>
    </row>
    <row r="146" spans="1:2" x14ac:dyDescent="0.35">
      <c r="A146" t="s">
        <v>637</v>
      </c>
      <c r="B146" t="s">
        <v>866</v>
      </c>
    </row>
    <row r="147" spans="1:2" x14ac:dyDescent="0.35">
      <c r="A147" t="s">
        <v>646</v>
      </c>
      <c r="B147" t="s">
        <v>867</v>
      </c>
    </row>
    <row r="148" spans="1:2" x14ac:dyDescent="0.35">
      <c r="A148" t="s">
        <v>628</v>
      </c>
      <c r="B148" t="s">
        <v>868</v>
      </c>
    </row>
    <row r="149" spans="1:2" x14ac:dyDescent="0.35">
      <c r="A149" t="s">
        <v>637</v>
      </c>
      <c r="B149" t="s">
        <v>869</v>
      </c>
    </row>
    <row r="150" spans="1:2" x14ac:dyDescent="0.35">
      <c r="A150" t="s">
        <v>646</v>
      </c>
      <c r="B150" t="s">
        <v>870</v>
      </c>
    </row>
    <row r="151" spans="1:2" x14ac:dyDescent="0.35">
      <c r="A151" t="s">
        <v>646</v>
      </c>
      <c r="B151" t="s">
        <v>757</v>
      </c>
    </row>
    <row r="152" spans="1:2" x14ac:dyDescent="0.35">
      <c r="A152" t="s">
        <v>637</v>
      </c>
      <c r="B152" t="s">
        <v>850</v>
      </c>
    </row>
    <row r="153" spans="1:2" x14ac:dyDescent="0.35">
      <c r="A153" t="s">
        <v>630</v>
      </c>
      <c r="B153" t="s">
        <v>843</v>
      </c>
    </row>
    <row r="154" spans="1:2" x14ac:dyDescent="0.35">
      <c r="A154" t="s">
        <v>637</v>
      </c>
      <c r="B154" t="s">
        <v>871</v>
      </c>
    </row>
    <row r="155" spans="1:2" x14ac:dyDescent="0.35">
      <c r="A155" t="s">
        <v>630</v>
      </c>
      <c r="B155" t="s">
        <v>872</v>
      </c>
    </row>
    <row r="156" spans="1:2" x14ac:dyDescent="0.35">
      <c r="A156" t="s">
        <v>630</v>
      </c>
      <c r="B156" t="s">
        <v>873</v>
      </c>
    </row>
    <row r="157" spans="1:2" x14ac:dyDescent="0.35">
      <c r="A157" t="s">
        <v>637</v>
      </c>
      <c r="B157" t="s">
        <v>681</v>
      </c>
    </row>
    <row r="158" spans="1:2" x14ac:dyDescent="0.35">
      <c r="A158" t="s">
        <v>637</v>
      </c>
      <c r="B158" t="s">
        <v>874</v>
      </c>
    </row>
    <row r="159" spans="1:2" x14ac:dyDescent="0.35">
      <c r="A159" t="s">
        <v>630</v>
      </c>
      <c r="B159" t="s">
        <v>875</v>
      </c>
    </row>
    <row r="160" spans="1:2" x14ac:dyDescent="0.35">
      <c r="A160" t="s">
        <v>630</v>
      </c>
      <c r="B160" t="s">
        <v>876</v>
      </c>
    </row>
    <row r="161" spans="1:2" x14ac:dyDescent="0.35">
      <c r="A161" t="s">
        <v>637</v>
      </c>
      <c r="B161" t="s">
        <v>877</v>
      </c>
    </row>
    <row r="162" spans="1:2" x14ac:dyDescent="0.35">
      <c r="A162" t="s">
        <v>630</v>
      </c>
      <c r="B162" t="s">
        <v>878</v>
      </c>
    </row>
    <row r="163" spans="1:2" x14ac:dyDescent="0.35">
      <c r="A163" t="s">
        <v>632</v>
      </c>
      <c r="B163" t="s">
        <v>879</v>
      </c>
    </row>
    <row r="164" spans="1:2" x14ac:dyDescent="0.35">
      <c r="A164" t="s">
        <v>630</v>
      </c>
      <c r="B164" t="s">
        <v>880</v>
      </c>
    </row>
    <row r="165" spans="1:2" x14ac:dyDescent="0.35">
      <c r="A165" t="s">
        <v>637</v>
      </c>
      <c r="B165" t="s">
        <v>850</v>
      </c>
    </row>
    <row r="166" spans="1:2" x14ac:dyDescent="0.35">
      <c r="A166" t="s">
        <v>637</v>
      </c>
      <c r="B166" t="s">
        <v>881</v>
      </c>
    </row>
    <row r="167" spans="1:2" x14ac:dyDescent="0.35">
      <c r="A167" t="s">
        <v>630</v>
      </c>
      <c r="B167" t="s">
        <v>882</v>
      </c>
    </row>
    <row r="168" spans="1:2" x14ac:dyDescent="0.35">
      <c r="A168" t="s">
        <v>637</v>
      </c>
      <c r="B168" t="s">
        <v>883</v>
      </c>
    </row>
    <row r="169" spans="1:2" x14ac:dyDescent="0.35">
      <c r="A169" t="s">
        <v>637</v>
      </c>
      <c r="B169" t="s">
        <v>884</v>
      </c>
    </row>
    <row r="170" spans="1:2" x14ac:dyDescent="0.35">
      <c r="A170" t="s">
        <v>637</v>
      </c>
      <c r="B170" t="s">
        <v>730</v>
      </c>
    </row>
    <row r="171" spans="1:2" x14ac:dyDescent="0.35">
      <c r="A171" t="s">
        <v>637</v>
      </c>
      <c r="B171" t="s">
        <v>664</v>
      </c>
    </row>
    <row r="172" spans="1:2" x14ac:dyDescent="0.35">
      <c r="A172" t="s">
        <v>637</v>
      </c>
      <c r="B172" t="s">
        <v>813</v>
      </c>
    </row>
    <row r="173" spans="1:2" x14ac:dyDescent="0.35">
      <c r="A173" t="s">
        <v>637</v>
      </c>
      <c r="B173" t="s">
        <v>885</v>
      </c>
    </row>
    <row r="174" spans="1:2" x14ac:dyDescent="0.35">
      <c r="A174" t="s">
        <v>630</v>
      </c>
      <c r="B174" t="s">
        <v>886</v>
      </c>
    </row>
    <row r="175" spans="1:2" x14ac:dyDescent="0.35">
      <c r="A175" t="s">
        <v>630</v>
      </c>
      <c r="B175" t="s">
        <v>887</v>
      </c>
    </row>
    <row r="176" spans="1:2" x14ac:dyDescent="0.35">
      <c r="A176" t="s">
        <v>637</v>
      </c>
      <c r="B176" t="s">
        <v>711</v>
      </c>
    </row>
    <row r="177" spans="1:2" x14ac:dyDescent="0.35">
      <c r="A177" t="s">
        <v>630</v>
      </c>
      <c r="B177" t="s">
        <v>888</v>
      </c>
    </row>
    <row r="178" spans="1:2" x14ac:dyDescent="0.35">
      <c r="A178" t="s">
        <v>630</v>
      </c>
      <c r="B178" t="s">
        <v>889</v>
      </c>
    </row>
    <row r="179" spans="1:2" x14ac:dyDescent="0.35">
      <c r="A179" t="s">
        <v>628</v>
      </c>
      <c r="B179" t="s">
        <v>691</v>
      </c>
    </row>
    <row r="180" spans="1:2" x14ac:dyDescent="0.35">
      <c r="A180" t="s">
        <v>637</v>
      </c>
      <c r="B180" t="s">
        <v>692</v>
      </c>
    </row>
    <row r="181" spans="1:2" x14ac:dyDescent="0.35">
      <c r="A181" t="s">
        <v>630</v>
      </c>
      <c r="B181" t="s">
        <v>890</v>
      </c>
    </row>
    <row r="182" spans="1:2" x14ac:dyDescent="0.35">
      <c r="A182" t="s">
        <v>630</v>
      </c>
      <c r="B182" t="s">
        <v>891</v>
      </c>
    </row>
    <row r="183" spans="1:2" x14ac:dyDescent="0.35">
      <c r="A183" t="s">
        <v>637</v>
      </c>
      <c r="B183" t="s">
        <v>668</v>
      </c>
    </row>
    <row r="184" spans="1:2" x14ac:dyDescent="0.35">
      <c r="A184" t="s">
        <v>637</v>
      </c>
      <c r="B184" t="s">
        <v>892</v>
      </c>
    </row>
    <row r="185" spans="1:2" x14ac:dyDescent="0.35">
      <c r="A185" t="s">
        <v>637</v>
      </c>
      <c r="B185" t="s">
        <v>893</v>
      </c>
    </row>
    <row r="186" spans="1:2" x14ac:dyDescent="0.35">
      <c r="A186" t="s">
        <v>630</v>
      </c>
      <c r="B186" t="s">
        <v>894</v>
      </c>
    </row>
    <row r="187" spans="1:2" x14ac:dyDescent="0.35">
      <c r="A187" t="s">
        <v>637</v>
      </c>
      <c r="B187" t="s">
        <v>895</v>
      </c>
    </row>
    <row r="188" spans="1:2" x14ac:dyDescent="0.35">
      <c r="A188" t="s">
        <v>637</v>
      </c>
      <c r="B188" t="s">
        <v>896</v>
      </c>
    </row>
    <row r="189" spans="1:2" x14ac:dyDescent="0.35">
      <c r="A189" t="s">
        <v>628</v>
      </c>
      <c r="B189" t="s">
        <v>897</v>
      </c>
    </row>
    <row r="190" spans="1:2" x14ac:dyDescent="0.35">
      <c r="A190" t="s">
        <v>637</v>
      </c>
      <c r="B190" t="s">
        <v>898</v>
      </c>
    </row>
    <row r="191" spans="1:2" x14ac:dyDescent="0.35">
      <c r="A191" t="s">
        <v>637</v>
      </c>
      <c r="B191" t="s">
        <v>899</v>
      </c>
    </row>
    <row r="192" spans="1:2" x14ac:dyDescent="0.35">
      <c r="A192" t="s">
        <v>637</v>
      </c>
      <c r="B192" t="s">
        <v>900</v>
      </c>
    </row>
    <row r="193" spans="1:2" x14ac:dyDescent="0.35">
      <c r="A193" t="s">
        <v>632</v>
      </c>
      <c r="B193" t="s">
        <v>901</v>
      </c>
    </row>
    <row r="194" spans="1:2" x14ac:dyDescent="0.35">
      <c r="A194" t="s">
        <v>637</v>
      </c>
      <c r="B194" t="s">
        <v>902</v>
      </c>
    </row>
    <row r="195" spans="1:2" x14ac:dyDescent="0.35">
      <c r="A195" t="s">
        <v>637</v>
      </c>
      <c r="B195" t="s">
        <v>903</v>
      </c>
    </row>
    <row r="196" spans="1:2" x14ac:dyDescent="0.35">
      <c r="A196" t="s">
        <v>628</v>
      </c>
      <c r="B196" t="s">
        <v>904</v>
      </c>
    </row>
    <row r="197" spans="1:2" x14ac:dyDescent="0.35">
      <c r="A197" t="s">
        <v>630</v>
      </c>
      <c r="B197" t="s">
        <v>905</v>
      </c>
    </row>
    <row r="198" spans="1:2" x14ac:dyDescent="0.35">
      <c r="A198" t="s">
        <v>646</v>
      </c>
      <c r="B198" t="s">
        <v>906</v>
      </c>
    </row>
    <row r="199" spans="1:2" x14ac:dyDescent="0.35">
      <c r="A199" t="s">
        <v>637</v>
      </c>
      <c r="B199" t="s">
        <v>661</v>
      </c>
    </row>
    <row r="200" spans="1:2" x14ac:dyDescent="0.35">
      <c r="A200" t="s">
        <v>637</v>
      </c>
      <c r="B200" t="s">
        <v>907</v>
      </c>
    </row>
    <row r="201" spans="1:2" x14ac:dyDescent="0.35">
      <c r="A201" t="s">
        <v>637</v>
      </c>
      <c r="B201" t="s">
        <v>908</v>
      </c>
    </row>
    <row r="202" spans="1:2" x14ac:dyDescent="0.35">
      <c r="A202" t="s">
        <v>630</v>
      </c>
      <c r="B202" t="s">
        <v>909</v>
      </c>
    </row>
    <row r="203" spans="1:2" x14ac:dyDescent="0.35">
      <c r="A203" t="s">
        <v>630</v>
      </c>
      <c r="B203" t="s">
        <v>910</v>
      </c>
    </row>
    <row r="204" spans="1:2" x14ac:dyDescent="0.35">
      <c r="A204" t="s">
        <v>637</v>
      </c>
      <c r="B204" t="s">
        <v>656</v>
      </c>
    </row>
    <row r="205" spans="1:2" x14ac:dyDescent="0.35">
      <c r="A205" t="s">
        <v>637</v>
      </c>
      <c r="B205" t="s">
        <v>911</v>
      </c>
    </row>
    <row r="206" spans="1:2" x14ac:dyDescent="0.35">
      <c r="A206" t="s">
        <v>628</v>
      </c>
      <c r="B206" t="s">
        <v>912</v>
      </c>
    </row>
    <row r="207" spans="1:2" x14ac:dyDescent="0.35">
      <c r="A207" t="s">
        <v>637</v>
      </c>
      <c r="B207" t="s">
        <v>913</v>
      </c>
    </row>
    <row r="208" spans="1:2" x14ac:dyDescent="0.35">
      <c r="A208" t="s">
        <v>637</v>
      </c>
      <c r="B208" t="s">
        <v>789</v>
      </c>
    </row>
    <row r="209" spans="1:2" x14ac:dyDescent="0.35">
      <c r="A209" t="s">
        <v>637</v>
      </c>
      <c r="B209" t="s">
        <v>914</v>
      </c>
    </row>
    <row r="210" spans="1:2" x14ac:dyDescent="0.35">
      <c r="A210" t="s">
        <v>630</v>
      </c>
      <c r="B210" t="s">
        <v>915</v>
      </c>
    </row>
    <row r="211" spans="1:2" x14ac:dyDescent="0.35">
      <c r="A211" t="s">
        <v>628</v>
      </c>
      <c r="B211" t="s">
        <v>916</v>
      </c>
    </row>
    <row r="212" spans="1:2" x14ac:dyDescent="0.35">
      <c r="A212" t="s">
        <v>628</v>
      </c>
      <c r="B212" t="s">
        <v>917</v>
      </c>
    </row>
    <row r="213" spans="1:2" x14ac:dyDescent="0.35">
      <c r="A213" t="s">
        <v>637</v>
      </c>
      <c r="B213" t="s">
        <v>815</v>
      </c>
    </row>
    <row r="214" spans="1:2" x14ac:dyDescent="0.35">
      <c r="A214" t="s">
        <v>637</v>
      </c>
      <c r="B214" t="s">
        <v>918</v>
      </c>
    </row>
    <row r="215" spans="1:2" x14ac:dyDescent="0.35">
      <c r="A215" t="s">
        <v>630</v>
      </c>
      <c r="B215" t="s">
        <v>919</v>
      </c>
    </row>
    <row r="216" spans="1:2" x14ac:dyDescent="0.35">
      <c r="A216" t="s">
        <v>637</v>
      </c>
      <c r="B216" t="s">
        <v>850</v>
      </c>
    </row>
    <row r="217" spans="1:2" x14ac:dyDescent="0.35">
      <c r="A217" t="s">
        <v>646</v>
      </c>
      <c r="B217" t="s">
        <v>730</v>
      </c>
    </row>
    <row r="218" spans="1:2" x14ac:dyDescent="0.35">
      <c r="A218" t="s">
        <v>637</v>
      </c>
      <c r="B218" t="s">
        <v>920</v>
      </c>
    </row>
    <row r="219" spans="1:2" x14ac:dyDescent="0.35">
      <c r="A219" t="s">
        <v>637</v>
      </c>
      <c r="B219" t="s">
        <v>921</v>
      </c>
    </row>
    <row r="220" spans="1:2" x14ac:dyDescent="0.35">
      <c r="A220" t="s">
        <v>637</v>
      </c>
      <c r="B220" t="s">
        <v>922</v>
      </c>
    </row>
    <row r="221" spans="1:2" x14ac:dyDescent="0.35">
      <c r="A221" t="s">
        <v>630</v>
      </c>
      <c r="B221" t="s">
        <v>923</v>
      </c>
    </row>
    <row r="222" spans="1:2" x14ac:dyDescent="0.35">
      <c r="A222" t="s">
        <v>630</v>
      </c>
      <c r="B222" t="s">
        <v>924</v>
      </c>
    </row>
    <row r="223" spans="1:2" x14ac:dyDescent="0.35">
      <c r="A223" t="s">
        <v>637</v>
      </c>
      <c r="B223" t="s">
        <v>925</v>
      </c>
    </row>
    <row r="224" spans="1:2" x14ac:dyDescent="0.35">
      <c r="A224" t="s">
        <v>637</v>
      </c>
      <c r="B224" t="s">
        <v>926</v>
      </c>
    </row>
    <row r="225" spans="1:2" x14ac:dyDescent="0.35">
      <c r="A225" t="s">
        <v>637</v>
      </c>
      <c r="B225" t="s">
        <v>927</v>
      </c>
    </row>
    <row r="226" spans="1:2" x14ac:dyDescent="0.35">
      <c r="A226" t="s">
        <v>646</v>
      </c>
      <c r="B226" t="s">
        <v>928</v>
      </c>
    </row>
    <row r="227" spans="1:2" x14ac:dyDescent="0.35">
      <c r="A227" t="s">
        <v>628</v>
      </c>
      <c r="B227" t="s">
        <v>709</v>
      </c>
    </row>
    <row r="228" spans="1:2" x14ac:dyDescent="0.35">
      <c r="A228" t="s">
        <v>637</v>
      </c>
      <c r="B228" t="s">
        <v>670</v>
      </c>
    </row>
    <row r="229" spans="1:2" x14ac:dyDescent="0.35">
      <c r="A229" t="s">
        <v>637</v>
      </c>
      <c r="B229" t="s">
        <v>929</v>
      </c>
    </row>
    <row r="230" spans="1:2" x14ac:dyDescent="0.35">
      <c r="A230" t="s">
        <v>637</v>
      </c>
      <c r="B230" t="s">
        <v>770</v>
      </c>
    </row>
    <row r="231" spans="1:2" x14ac:dyDescent="0.35">
      <c r="A231" t="s">
        <v>637</v>
      </c>
      <c r="B231" t="s">
        <v>930</v>
      </c>
    </row>
    <row r="232" spans="1:2" x14ac:dyDescent="0.35">
      <c r="A232" t="s">
        <v>637</v>
      </c>
      <c r="B232" t="s">
        <v>931</v>
      </c>
    </row>
    <row r="233" spans="1:2" x14ac:dyDescent="0.35">
      <c r="A233" t="s">
        <v>637</v>
      </c>
      <c r="B233" t="s">
        <v>932</v>
      </c>
    </row>
    <row r="234" spans="1:2" x14ac:dyDescent="0.35">
      <c r="A234" t="s">
        <v>646</v>
      </c>
      <c r="B234" t="s">
        <v>933</v>
      </c>
    </row>
    <row r="235" spans="1:2" x14ac:dyDescent="0.35">
      <c r="A235" t="s">
        <v>637</v>
      </c>
      <c r="B235" t="s">
        <v>934</v>
      </c>
    </row>
    <row r="236" spans="1:2" x14ac:dyDescent="0.35">
      <c r="A236" t="s">
        <v>637</v>
      </c>
      <c r="B236" t="s">
        <v>935</v>
      </c>
    </row>
    <row r="237" spans="1:2" x14ac:dyDescent="0.35">
      <c r="A237" t="s">
        <v>637</v>
      </c>
      <c r="B237" t="s">
        <v>936</v>
      </c>
    </row>
    <row r="238" spans="1:2" x14ac:dyDescent="0.35">
      <c r="A238" t="s">
        <v>637</v>
      </c>
      <c r="B238" t="s">
        <v>937</v>
      </c>
    </row>
    <row r="239" spans="1:2" x14ac:dyDescent="0.35">
      <c r="A239" t="s">
        <v>628</v>
      </c>
      <c r="B239" t="s">
        <v>938</v>
      </c>
    </row>
    <row r="240" spans="1:2" x14ac:dyDescent="0.35">
      <c r="A240" t="s">
        <v>637</v>
      </c>
      <c r="B240" t="s">
        <v>939</v>
      </c>
    </row>
    <row r="241" spans="1:2" x14ac:dyDescent="0.35">
      <c r="A241" t="s">
        <v>630</v>
      </c>
      <c r="B241" t="s">
        <v>769</v>
      </c>
    </row>
    <row r="242" spans="1:2" x14ac:dyDescent="0.35">
      <c r="A242" t="s">
        <v>630</v>
      </c>
      <c r="B242" t="s">
        <v>940</v>
      </c>
    </row>
    <row r="243" spans="1:2" x14ac:dyDescent="0.35">
      <c r="A243" t="s">
        <v>637</v>
      </c>
      <c r="B243" t="s">
        <v>492</v>
      </c>
    </row>
    <row r="244" spans="1:2" x14ac:dyDescent="0.35">
      <c r="A244" t="s">
        <v>630</v>
      </c>
      <c r="B244" t="s">
        <v>941</v>
      </c>
    </row>
    <row r="245" spans="1:2" x14ac:dyDescent="0.35">
      <c r="A245" t="s">
        <v>637</v>
      </c>
      <c r="B245" t="s">
        <v>664</v>
      </c>
    </row>
    <row r="246" spans="1:2" x14ac:dyDescent="0.35">
      <c r="A246" t="s">
        <v>637</v>
      </c>
      <c r="B246" t="s">
        <v>656</v>
      </c>
    </row>
    <row r="247" spans="1:2" x14ac:dyDescent="0.35">
      <c r="A247" t="s">
        <v>637</v>
      </c>
      <c r="B247" t="s">
        <v>942</v>
      </c>
    </row>
    <row r="248" spans="1:2" x14ac:dyDescent="0.35">
      <c r="A248" t="s">
        <v>630</v>
      </c>
      <c r="B248" t="s">
        <v>943</v>
      </c>
    </row>
    <row r="249" spans="1:2" x14ac:dyDescent="0.35">
      <c r="A249" t="s">
        <v>646</v>
      </c>
      <c r="B249" t="s">
        <v>944</v>
      </c>
    </row>
    <row r="250" spans="1:2" x14ac:dyDescent="0.35">
      <c r="A250" t="s">
        <v>637</v>
      </c>
      <c r="B250" t="s">
        <v>945</v>
      </c>
    </row>
    <row r="251" spans="1:2" x14ac:dyDescent="0.35">
      <c r="A251" t="s">
        <v>632</v>
      </c>
      <c r="B251" t="s">
        <v>946</v>
      </c>
    </row>
    <row r="252" spans="1:2" x14ac:dyDescent="0.35">
      <c r="A252" t="s">
        <v>628</v>
      </c>
      <c r="B252" t="s">
        <v>947</v>
      </c>
    </row>
    <row r="253" spans="1:2" x14ac:dyDescent="0.35">
      <c r="A253" t="s">
        <v>637</v>
      </c>
      <c r="B253" t="s">
        <v>948</v>
      </c>
    </row>
    <row r="254" spans="1:2" x14ac:dyDescent="0.35">
      <c r="A254" t="s">
        <v>628</v>
      </c>
      <c r="B254" t="s">
        <v>949</v>
      </c>
    </row>
    <row r="255" spans="1:2" x14ac:dyDescent="0.35">
      <c r="A255" t="s">
        <v>630</v>
      </c>
      <c r="B255" t="s">
        <v>950</v>
      </c>
    </row>
    <row r="256" spans="1:2" x14ac:dyDescent="0.35">
      <c r="A256" t="s">
        <v>630</v>
      </c>
      <c r="B256" t="s">
        <v>951</v>
      </c>
    </row>
    <row r="257" spans="1:2" x14ac:dyDescent="0.35">
      <c r="A257" t="s">
        <v>637</v>
      </c>
      <c r="B257" t="s">
        <v>670</v>
      </c>
    </row>
    <row r="258" spans="1:2" x14ac:dyDescent="0.35">
      <c r="A258" t="s">
        <v>632</v>
      </c>
      <c r="B258" t="s">
        <v>161</v>
      </c>
    </row>
    <row r="259" spans="1:2" x14ac:dyDescent="0.35">
      <c r="A259" t="s">
        <v>628</v>
      </c>
      <c r="B259" t="s">
        <v>952</v>
      </c>
    </row>
    <row r="260" spans="1:2" x14ac:dyDescent="0.35">
      <c r="A260" t="s">
        <v>637</v>
      </c>
      <c r="B260" t="s">
        <v>770</v>
      </c>
    </row>
    <row r="261" spans="1:2" x14ac:dyDescent="0.35">
      <c r="A261" t="s">
        <v>637</v>
      </c>
      <c r="B261" t="s">
        <v>953</v>
      </c>
    </row>
    <row r="262" spans="1:2" x14ac:dyDescent="0.35">
      <c r="A262" t="s">
        <v>637</v>
      </c>
      <c r="B262" t="s">
        <v>918</v>
      </c>
    </row>
    <row r="263" spans="1:2" x14ac:dyDescent="0.35">
      <c r="A263" t="s">
        <v>646</v>
      </c>
      <c r="B263" t="s">
        <v>954</v>
      </c>
    </row>
    <row r="264" spans="1:2" x14ac:dyDescent="0.35">
      <c r="A264" t="s">
        <v>630</v>
      </c>
      <c r="B264" t="s">
        <v>955</v>
      </c>
    </row>
    <row r="265" spans="1:2" x14ac:dyDescent="0.35">
      <c r="A265" t="s">
        <v>637</v>
      </c>
      <c r="B265" t="s">
        <v>956</v>
      </c>
    </row>
    <row r="266" spans="1:2" x14ac:dyDescent="0.35">
      <c r="A266" t="s">
        <v>632</v>
      </c>
      <c r="B266" t="s">
        <v>957</v>
      </c>
    </row>
    <row r="267" spans="1:2" x14ac:dyDescent="0.35">
      <c r="A267" t="s">
        <v>630</v>
      </c>
      <c r="B267" t="s">
        <v>958</v>
      </c>
    </row>
    <row r="268" spans="1:2" x14ac:dyDescent="0.35">
      <c r="A268" t="s">
        <v>630</v>
      </c>
      <c r="B268" t="s">
        <v>959</v>
      </c>
    </row>
    <row r="269" spans="1:2" x14ac:dyDescent="0.35">
      <c r="A269" t="s">
        <v>628</v>
      </c>
      <c r="B269" t="s">
        <v>960</v>
      </c>
    </row>
    <row r="270" spans="1:2" x14ac:dyDescent="0.35">
      <c r="A270" t="s">
        <v>630</v>
      </c>
      <c r="B270" t="s">
        <v>961</v>
      </c>
    </row>
    <row r="271" spans="1:2" x14ac:dyDescent="0.35">
      <c r="A271" t="s">
        <v>630</v>
      </c>
      <c r="B271" t="s">
        <v>962</v>
      </c>
    </row>
    <row r="272" spans="1:2" x14ac:dyDescent="0.35">
      <c r="A272" t="s">
        <v>630</v>
      </c>
      <c r="B272" t="s">
        <v>963</v>
      </c>
    </row>
    <row r="273" spans="1:2" x14ac:dyDescent="0.35">
      <c r="A273" t="s">
        <v>637</v>
      </c>
      <c r="B273" t="s">
        <v>964</v>
      </c>
    </row>
    <row r="274" spans="1:2" x14ac:dyDescent="0.35">
      <c r="A274" t="s">
        <v>630</v>
      </c>
      <c r="B274" t="s">
        <v>678</v>
      </c>
    </row>
    <row r="275" spans="1:2" x14ac:dyDescent="0.35">
      <c r="A275" t="s">
        <v>637</v>
      </c>
      <c r="B275" t="s">
        <v>965</v>
      </c>
    </row>
    <row r="276" spans="1:2" x14ac:dyDescent="0.35">
      <c r="A276" t="s">
        <v>630</v>
      </c>
      <c r="B276" t="s">
        <v>966</v>
      </c>
    </row>
    <row r="277" spans="1:2" x14ac:dyDescent="0.35">
      <c r="A277" t="s">
        <v>637</v>
      </c>
      <c r="B277" t="s">
        <v>967</v>
      </c>
    </row>
    <row r="278" spans="1:2" x14ac:dyDescent="0.35">
      <c r="A278" t="s">
        <v>637</v>
      </c>
      <c r="B278" t="s">
        <v>656</v>
      </c>
    </row>
    <row r="279" spans="1:2" x14ac:dyDescent="0.35">
      <c r="A279" t="s">
        <v>637</v>
      </c>
      <c r="B279" t="s">
        <v>968</v>
      </c>
    </row>
    <row r="280" spans="1:2" x14ac:dyDescent="0.35">
      <c r="A280" t="s">
        <v>630</v>
      </c>
      <c r="B280" t="s">
        <v>969</v>
      </c>
    </row>
    <row r="281" spans="1:2" x14ac:dyDescent="0.35">
      <c r="A281" t="s">
        <v>632</v>
      </c>
      <c r="B281" t="s">
        <v>970</v>
      </c>
    </row>
    <row r="282" spans="1:2" x14ac:dyDescent="0.35">
      <c r="A282" t="s">
        <v>628</v>
      </c>
      <c r="B282" t="s">
        <v>971</v>
      </c>
    </row>
    <row r="283" spans="1:2" x14ac:dyDescent="0.35">
      <c r="A283" t="s">
        <v>628</v>
      </c>
      <c r="B283" t="s">
        <v>972</v>
      </c>
    </row>
    <row r="284" spans="1:2" x14ac:dyDescent="0.35">
      <c r="A284" t="s">
        <v>637</v>
      </c>
      <c r="B284" t="s">
        <v>681</v>
      </c>
    </row>
    <row r="285" spans="1:2" x14ac:dyDescent="0.35">
      <c r="A285" t="s">
        <v>630</v>
      </c>
      <c r="B285" t="s">
        <v>815</v>
      </c>
    </row>
    <row r="286" spans="1:2" x14ac:dyDescent="0.35">
      <c r="A286" t="s">
        <v>628</v>
      </c>
      <c r="B286" t="s">
        <v>973</v>
      </c>
    </row>
    <row r="287" spans="1:2" x14ac:dyDescent="0.35">
      <c r="A287" t="s">
        <v>637</v>
      </c>
      <c r="B287" t="s">
        <v>974</v>
      </c>
    </row>
    <row r="288" spans="1:2" x14ac:dyDescent="0.35">
      <c r="A288" t="s">
        <v>637</v>
      </c>
      <c r="B288" t="s">
        <v>686</v>
      </c>
    </row>
    <row r="289" spans="1:2" x14ac:dyDescent="0.35">
      <c r="A289" t="s">
        <v>628</v>
      </c>
      <c r="B289" t="s">
        <v>975</v>
      </c>
    </row>
    <row r="290" spans="1:2" x14ac:dyDescent="0.35">
      <c r="A290" t="s">
        <v>630</v>
      </c>
      <c r="B290" t="s">
        <v>976</v>
      </c>
    </row>
    <row r="291" spans="1:2" x14ac:dyDescent="0.35">
      <c r="A291" t="s">
        <v>637</v>
      </c>
      <c r="B291" t="s">
        <v>977</v>
      </c>
    </row>
    <row r="292" spans="1:2" x14ac:dyDescent="0.35">
      <c r="A292" t="s">
        <v>637</v>
      </c>
      <c r="B292" t="s">
        <v>723</v>
      </c>
    </row>
    <row r="293" spans="1:2" x14ac:dyDescent="0.35">
      <c r="A293" t="s">
        <v>630</v>
      </c>
      <c r="B293" t="s">
        <v>978</v>
      </c>
    </row>
    <row r="294" spans="1:2" x14ac:dyDescent="0.35">
      <c r="A294" t="s">
        <v>637</v>
      </c>
      <c r="B294" t="s">
        <v>697</v>
      </c>
    </row>
    <row r="295" spans="1:2" x14ac:dyDescent="0.35">
      <c r="A295" t="s">
        <v>637</v>
      </c>
      <c r="B295" t="s">
        <v>649</v>
      </c>
    </row>
    <row r="296" spans="1:2" x14ac:dyDescent="0.35">
      <c r="A296" t="s">
        <v>637</v>
      </c>
      <c r="B296" t="s">
        <v>670</v>
      </c>
    </row>
    <row r="297" spans="1:2" x14ac:dyDescent="0.35">
      <c r="A297" t="s">
        <v>632</v>
      </c>
      <c r="B297" t="s">
        <v>979</v>
      </c>
    </row>
    <row r="298" spans="1:2" x14ac:dyDescent="0.35">
      <c r="A298" t="s">
        <v>630</v>
      </c>
      <c r="B298" t="s">
        <v>980</v>
      </c>
    </row>
    <row r="299" spans="1:2" x14ac:dyDescent="0.35">
      <c r="A299" t="s">
        <v>637</v>
      </c>
      <c r="B299" t="s">
        <v>876</v>
      </c>
    </row>
    <row r="300" spans="1:2" x14ac:dyDescent="0.35">
      <c r="A300" t="s">
        <v>646</v>
      </c>
      <c r="B300" t="s">
        <v>981</v>
      </c>
    </row>
    <row r="301" spans="1:2" x14ac:dyDescent="0.35">
      <c r="A301" t="s">
        <v>632</v>
      </c>
      <c r="B301" t="s">
        <v>982</v>
      </c>
    </row>
    <row r="302" spans="1:2" x14ac:dyDescent="0.35">
      <c r="A302" t="s">
        <v>630</v>
      </c>
      <c r="B302" t="s">
        <v>983</v>
      </c>
    </row>
    <row r="303" spans="1:2" x14ac:dyDescent="0.35">
      <c r="A303" t="s">
        <v>637</v>
      </c>
      <c r="B303" t="s">
        <v>984</v>
      </c>
    </row>
    <row r="304" spans="1:2" x14ac:dyDescent="0.35">
      <c r="A304" t="s">
        <v>637</v>
      </c>
      <c r="B304" t="s">
        <v>985</v>
      </c>
    </row>
    <row r="305" spans="1:2" x14ac:dyDescent="0.35">
      <c r="A305" t="s">
        <v>630</v>
      </c>
      <c r="B305" t="s">
        <v>728</v>
      </c>
    </row>
    <row r="306" spans="1:2" x14ac:dyDescent="0.35">
      <c r="A306" t="s">
        <v>630</v>
      </c>
      <c r="B306" t="s">
        <v>986</v>
      </c>
    </row>
    <row r="307" spans="1:2" x14ac:dyDescent="0.35">
      <c r="A307" t="s">
        <v>630</v>
      </c>
      <c r="B307" t="s">
        <v>987</v>
      </c>
    </row>
    <row r="308" spans="1:2" x14ac:dyDescent="0.35">
      <c r="A308" t="s">
        <v>630</v>
      </c>
      <c r="B308" t="s">
        <v>988</v>
      </c>
    </row>
    <row r="309" spans="1:2" x14ac:dyDescent="0.35">
      <c r="A309" t="s">
        <v>632</v>
      </c>
      <c r="B309" t="s">
        <v>989</v>
      </c>
    </row>
    <row r="310" spans="1:2" x14ac:dyDescent="0.35">
      <c r="A310" t="s">
        <v>630</v>
      </c>
      <c r="B310" t="s">
        <v>990</v>
      </c>
    </row>
    <row r="311" spans="1:2" x14ac:dyDescent="0.35">
      <c r="A311" t="s">
        <v>628</v>
      </c>
      <c r="B311" t="s">
        <v>920</v>
      </c>
    </row>
    <row r="312" spans="1:2" x14ac:dyDescent="0.35">
      <c r="A312" t="s">
        <v>632</v>
      </c>
      <c r="B312" t="s">
        <v>730</v>
      </c>
    </row>
    <row r="313" spans="1:2" x14ac:dyDescent="0.35">
      <c r="A313" t="s">
        <v>630</v>
      </c>
      <c r="B313" t="s">
        <v>650</v>
      </c>
    </row>
    <row r="314" spans="1:2" x14ac:dyDescent="0.35">
      <c r="A314" t="s">
        <v>637</v>
      </c>
      <c r="B314" t="s">
        <v>649</v>
      </c>
    </row>
    <row r="315" spans="1:2" x14ac:dyDescent="0.35">
      <c r="A315" t="s">
        <v>632</v>
      </c>
      <c r="B315" t="s">
        <v>991</v>
      </c>
    </row>
    <row r="316" spans="1:2" x14ac:dyDescent="0.35">
      <c r="A316" t="s">
        <v>630</v>
      </c>
      <c r="B316" t="s">
        <v>992</v>
      </c>
    </row>
    <row r="317" spans="1:2" x14ac:dyDescent="0.35">
      <c r="A317" t="s">
        <v>637</v>
      </c>
      <c r="B317" t="s">
        <v>993</v>
      </c>
    </row>
    <row r="318" spans="1:2" x14ac:dyDescent="0.35">
      <c r="A318" t="s">
        <v>632</v>
      </c>
      <c r="B318" t="s">
        <v>994</v>
      </c>
    </row>
    <row r="319" spans="1:2" x14ac:dyDescent="0.35">
      <c r="A319" t="s">
        <v>637</v>
      </c>
      <c r="B319" t="s">
        <v>995</v>
      </c>
    </row>
    <row r="320" spans="1:2" x14ac:dyDescent="0.35">
      <c r="A320" t="s">
        <v>637</v>
      </c>
      <c r="B320" t="s">
        <v>989</v>
      </c>
    </row>
    <row r="321" spans="1:2" x14ac:dyDescent="0.35">
      <c r="A321" t="s">
        <v>632</v>
      </c>
      <c r="B321" t="s">
        <v>996</v>
      </c>
    </row>
    <row r="322" spans="1:2" x14ac:dyDescent="0.35">
      <c r="A322" t="s">
        <v>637</v>
      </c>
      <c r="B322" t="s">
        <v>997</v>
      </c>
    </row>
    <row r="323" spans="1:2" x14ac:dyDescent="0.35">
      <c r="A323" t="s">
        <v>630</v>
      </c>
      <c r="B323" t="s">
        <v>998</v>
      </c>
    </row>
    <row r="324" spans="1:2" x14ac:dyDescent="0.35">
      <c r="A324" t="s">
        <v>637</v>
      </c>
      <c r="B324" t="s">
        <v>999</v>
      </c>
    </row>
    <row r="325" spans="1:2" x14ac:dyDescent="0.35">
      <c r="A325" t="s">
        <v>630</v>
      </c>
      <c r="B325" t="s">
        <v>735</v>
      </c>
    </row>
    <row r="326" spans="1:2" x14ac:dyDescent="0.35">
      <c r="A326" t="s">
        <v>630</v>
      </c>
      <c r="B326" t="s">
        <v>1000</v>
      </c>
    </row>
    <row r="327" spans="1:2" x14ac:dyDescent="0.35">
      <c r="A327" t="s">
        <v>637</v>
      </c>
      <c r="B327" t="s">
        <v>1001</v>
      </c>
    </row>
    <row r="328" spans="1:2" x14ac:dyDescent="0.35">
      <c r="A328" t="s">
        <v>637</v>
      </c>
      <c r="B328" t="s">
        <v>1002</v>
      </c>
    </row>
    <row r="329" spans="1:2" x14ac:dyDescent="0.35">
      <c r="A329" t="s">
        <v>637</v>
      </c>
      <c r="B329" t="s">
        <v>1003</v>
      </c>
    </row>
    <row r="330" spans="1:2" x14ac:dyDescent="0.35">
      <c r="A330" t="s">
        <v>637</v>
      </c>
      <c r="B330" t="s">
        <v>738</v>
      </c>
    </row>
    <row r="331" spans="1:2" x14ac:dyDescent="0.35">
      <c r="A331" t="s">
        <v>637</v>
      </c>
      <c r="B331" t="s">
        <v>674</v>
      </c>
    </row>
    <row r="332" spans="1:2" x14ac:dyDescent="0.35">
      <c r="A332" t="s">
        <v>630</v>
      </c>
      <c r="B332" t="s">
        <v>1004</v>
      </c>
    </row>
    <row r="333" spans="1:2" x14ac:dyDescent="0.35">
      <c r="A333" t="s">
        <v>628</v>
      </c>
      <c r="B333" t="s">
        <v>1005</v>
      </c>
    </row>
    <row r="334" spans="1:2" x14ac:dyDescent="0.35">
      <c r="A334" t="s">
        <v>630</v>
      </c>
      <c r="B334" t="s">
        <v>1006</v>
      </c>
    </row>
    <row r="335" spans="1:2" x14ac:dyDescent="0.35">
      <c r="A335" t="s">
        <v>630</v>
      </c>
      <c r="B335" t="s">
        <v>1007</v>
      </c>
    </row>
    <row r="336" spans="1:2" x14ac:dyDescent="0.35">
      <c r="A336" t="s">
        <v>632</v>
      </c>
      <c r="B336" t="s">
        <v>1008</v>
      </c>
    </row>
    <row r="337" spans="1:2" x14ac:dyDescent="0.35">
      <c r="A337" t="s">
        <v>637</v>
      </c>
      <c r="B337" t="s">
        <v>1009</v>
      </c>
    </row>
    <row r="338" spans="1:2" x14ac:dyDescent="0.35">
      <c r="A338" t="s">
        <v>637</v>
      </c>
      <c r="B338" t="s">
        <v>1010</v>
      </c>
    </row>
    <row r="339" spans="1:2" x14ac:dyDescent="0.35">
      <c r="A339" t="s">
        <v>637</v>
      </c>
      <c r="B339" t="s">
        <v>670</v>
      </c>
    </row>
    <row r="340" spans="1:2" x14ac:dyDescent="0.35">
      <c r="A340" t="s">
        <v>637</v>
      </c>
      <c r="B340" t="s">
        <v>1011</v>
      </c>
    </row>
    <row r="341" spans="1:2" x14ac:dyDescent="0.35">
      <c r="A341" t="s">
        <v>637</v>
      </c>
      <c r="B341" t="s">
        <v>1012</v>
      </c>
    </row>
    <row r="342" spans="1:2" x14ac:dyDescent="0.35">
      <c r="A342" t="s">
        <v>637</v>
      </c>
      <c r="B342" t="s">
        <v>1013</v>
      </c>
    </row>
    <row r="343" spans="1:2" x14ac:dyDescent="0.35">
      <c r="A343" t="s">
        <v>637</v>
      </c>
      <c r="B343" t="s">
        <v>1014</v>
      </c>
    </row>
    <row r="344" spans="1:2" x14ac:dyDescent="0.35">
      <c r="A344" t="s">
        <v>630</v>
      </c>
      <c r="B344" t="s">
        <v>650</v>
      </c>
    </row>
    <row r="345" spans="1:2" x14ac:dyDescent="0.35">
      <c r="A345" t="s">
        <v>637</v>
      </c>
      <c r="B345" t="s">
        <v>1015</v>
      </c>
    </row>
    <row r="346" spans="1:2" x14ac:dyDescent="0.35">
      <c r="A346" t="s">
        <v>632</v>
      </c>
      <c r="B346" t="s">
        <v>1016</v>
      </c>
    </row>
    <row r="347" spans="1:2" x14ac:dyDescent="0.35">
      <c r="A347" t="s">
        <v>630</v>
      </c>
      <c r="B347" t="s">
        <v>1017</v>
      </c>
    </row>
    <row r="348" spans="1:2" x14ac:dyDescent="0.35">
      <c r="A348" t="s">
        <v>630</v>
      </c>
      <c r="B348" t="s">
        <v>1018</v>
      </c>
    </row>
    <row r="349" spans="1:2" x14ac:dyDescent="0.35">
      <c r="A349" t="s">
        <v>630</v>
      </c>
      <c r="B349" t="s">
        <v>1019</v>
      </c>
    </row>
    <row r="350" spans="1:2" x14ac:dyDescent="0.35">
      <c r="A350" t="s">
        <v>637</v>
      </c>
      <c r="B350" t="s">
        <v>918</v>
      </c>
    </row>
    <row r="351" spans="1:2" x14ac:dyDescent="0.35">
      <c r="A351" t="s">
        <v>628</v>
      </c>
      <c r="B351" t="s">
        <v>1020</v>
      </c>
    </row>
    <row r="352" spans="1:2" x14ac:dyDescent="0.35">
      <c r="A352" t="s">
        <v>632</v>
      </c>
      <c r="B352" t="s">
        <v>1021</v>
      </c>
    </row>
    <row r="353" spans="1:2" x14ac:dyDescent="0.35">
      <c r="A353" t="s">
        <v>632</v>
      </c>
      <c r="B353" t="s">
        <v>1022</v>
      </c>
    </row>
    <row r="354" spans="1:2" x14ac:dyDescent="0.35">
      <c r="A354" t="s">
        <v>630</v>
      </c>
      <c r="B354" t="s">
        <v>1023</v>
      </c>
    </row>
    <row r="355" spans="1:2" x14ac:dyDescent="0.35">
      <c r="A355" t="s">
        <v>637</v>
      </c>
      <c r="B355" t="s">
        <v>1024</v>
      </c>
    </row>
    <row r="356" spans="1:2" x14ac:dyDescent="0.35">
      <c r="A356" t="s">
        <v>637</v>
      </c>
      <c r="B356" t="s">
        <v>681</v>
      </c>
    </row>
    <row r="357" spans="1:2" x14ac:dyDescent="0.35">
      <c r="A357" t="s">
        <v>630</v>
      </c>
      <c r="B357" t="s">
        <v>1025</v>
      </c>
    </row>
    <row r="358" spans="1:2" x14ac:dyDescent="0.35">
      <c r="A358" t="s">
        <v>630</v>
      </c>
      <c r="B358" t="s">
        <v>917</v>
      </c>
    </row>
    <row r="359" spans="1:2" x14ac:dyDescent="0.35">
      <c r="A359" t="s">
        <v>637</v>
      </c>
      <c r="B359" t="s">
        <v>850</v>
      </c>
    </row>
    <row r="360" spans="1:2" x14ac:dyDescent="0.35">
      <c r="A360" t="s">
        <v>637</v>
      </c>
      <c r="B360" t="s">
        <v>668</v>
      </c>
    </row>
    <row r="361" spans="1:2" x14ac:dyDescent="0.35">
      <c r="A361" t="s">
        <v>630</v>
      </c>
      <c r="B361" t="s">
        <v>1026</v>
      </c>
    </row>
    <row r="362" spans="1:2" x14ac:dyDescent="0.35">
      <c r="A362" t="s">
        <v>646</v>
      </c>
      <c r="B362" t="s">
        <v>1027</v>
      </c>
    </row>
    <row r="363" spans="1:2" x14ac:dyDescent="0.35">
      <c r="A363" t="s">
        <v>628</v>
      </c>
      <c r="B363" t="s">
        <v>1028</v>
      </c>
    </row>
    <row r="364" spans="1:2" x14ac:dyDescent="0.35">
      <c r="A364" t="s">
        <v>637</v>
      </c>
      <c r="B364" t="s">
        <v>1029</v>
      </c>
    </row>
    <row r="365" spans="1:2" x14ac:dyDescent="0.35">
      <c r="A365" t="s">
        <v>630</v>
      </c>
      <c r="B365" t="s">
        <v>1030</v>
      </c>
    </row>
    <row r="366" spans="1:2" x14ac:dyDescent="0.35">
      <c r="A366" t="s">
        <v>630</v>
      </c>
      <c r="B366" t="s">
        <v>1031</v>
      </c>
    </row>
    <row r="367" spans="1:2" x14ac:dyDescent="0.35">
      <c r="A367" t="s">
        <v>637</v>
      </c>
      <c r="B367" t="s">
        <v>1032</v>
      </c>
    </row>
    <row r="368" spans="1:2" x14ac:dyDescent="0.35">
      <c r="A368" t="s">
        <v>630</v>
      </c>
      <c r="B368" t="s">
        <v>1033</v>
      </c>
    </row>
    <row r="369" spans="1:2" x14ac:dyDescent="0.35">
      <c r="A369" t="s">
        <v>637</v>
      </c>
      <c r="B369" t="s">
        <v>1034</v>
      </c>
    </row>
    <row r="370" spans="1:2" x14ac:dyDescent="0.35">
      <c r="A370" t="s">
        <v>637</v>
      </c>
      <c r="B370" t="s">
        <v>681</v>
      </c>
    </row>
    <row r="371" spans="1:2" x14ac:dyDescent="0.35">
      <c r="A371" t="s">
        <v>630</v>
      </c>
      <c r="B371" t="s">
        <v>872</v>
      </c>
    </row>
    <row r="372" spans="1:2" x14ac:dyDescent="0.35">
      <c r="A372" t="s">
        <v>637</v>
      </c>
      <c r="B372" t="s">
        <v>874</v>
      </c>
    </row>
    <row r="373" spans="1:2" x14ac:dyDescent="0.35">
      <c r="A373" t="s">
        <v>637</v>
      </c>
      <c r="B373" t="s">
        <v>656</v>
      </c>
    </row>
    <row r="374" spans="1:2" x14ac:dyDescent="0.35">
      <c r="A374" t="s">
        <v>630</v>
      </c>
      <c r="B374" t="s">
        <v>1035</v>
      </c>
    </row>
    <row r="375" spans="1:2" x14ac:dyDescent="0.35">
      <c r="A375" t="s">
        <v>637</v>
      </c>
      <c r="B375" t="s">
        <v>136</v>
      </c>
    </row>
    <row r="376" spans="1:2" x14ac:dyDescent="0.35">
      <c r="A376" t="s">
        <v>637</v>
      </c>
      <c r="B376" t="s">
        <v>656</v>
      </c>
    </row>
    <row r="377" spans="1:2" x14ac:dyDescent="0.35">
      <c r="A377" t="s">
        <v>637</v>
      </c>
      <c r="B377" t="s">
        <v>1036</v>
      </c>
    </row>
    <row r="378" spans="1:2" x14ac:dyDescent="0.35">
      <c r="A378" t="s">
        <v>630</v>
      </c>
      <c r="B378" t="s">
        <v>1037</v>
      </c>
    </row>
    <row r="379" spans="1:2" x14ac:dyDescent="0.35">
      <c r="A379" t="s">
        <v>630</v>
      </c>
      <c r="B379" t="s">
        <v>1038</v>
      </c>
    </row>
    <row r="380" spans="1:2" x14ac:dyDescent="0.35">
      <c r="A380" t="s">
        <v>637</v>
      </c>
      <c r="B380" t="s">
        <v>1039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1"/>
  <sheetViews>
    <sheetView workbookViewId="0"/>
  </sheetViews>
  <sheetFormatPr defaultRowHeight="14.5" x14ac:dyDescent="0.35"/>
  <cols>
    <col min="1" max="3" width="30.7265625" customWidth="1"/>
  </cols>
  <sheetData>
    <row r="1" spans="1:2" s="3" customFormat="1" x14ac:dyDescent="0.35">
      <c r="A1" s="4" t="str">
        <f>HYPERLINK("#Tabulka!A397","Jaký pocit ze značky **SledovaniTV** máte?")</f>
        <v>Jaký pocit ze značky **SledovaniTV** máte?</v>
      </c>
    </row>
    <row r="2" spans="1:2" x14ac:dyDescent="0.35">
      <c r="A2" t="s">
        <v>637</v>
      </c>
      <c r="B2" t="s">
        <v>1042</v>
      </c>
    </row>
    <row r="3" spans="1:2" x14ac:dyDescent="0.35">
      <c r="A3" t="s">
        <v>637</v>
      </c>
      <c r="B3" t="s">
        <v>1043</v>
      </c>
    </row>
    <row r="4" spans="1:2" x14ac:dyDescent="0.35">
      <c r="A4" t="s">
        <v>628</v>
      </c>
      <c r="B4" t="s">
        <v>1044</v>
      </c>
    </row>
    <row r="5" spans="1:2" x14ac:dyDescent="0.35">
      <c r="A5" t="s">
        <v>628</v>
      </c>
      <c r="B5" t="s">
        <v>1045</v>
      </c>
    </row>
    <row r="6" spans="1:2" x14ac:dyDescent="0.35">
      <c r="A6" t="s">
        <v>630</v>
      </c>
      <c r="B6" t="s">
        <v>1046</v>
      </c>
    </row>
    <row r="7" spans="1:2" x14ac:dyDescent="0.35">
      <c r="A7" t="s">
        <v>637</v>
      </c>
      <c r="B7" t="s">
        <v>640</v>
      </c>
    </row>
    <row r="8" spans="1:2" x14ac:dyDescent="0.35">
      <c r="A8" t="s">
        <v>628</v>
      </c>
      <c r="B8" t="s">
        <v>1047</v>
      </c>
    </row>
    <row r="9" spans="1:2" x14ac:dyDescent="0.35">
      <c r="A9" t="s">
        <v>628</v>
      </c>
      <c r="B9" t="s">
        <v>1048</v>
      </c>
    </row>
    <row r="10" spans="1:2" x14ac:dyDescent="0.35">
      <c r="A10" t="s">
        <v>637</v>
      </c>
      <c r="B10" t="s">
        <v>1049</v>
      </c>
    </row>
    <row r="11" spans="1:2" x14ac:dyDescent="0.35">
      <c r="A11" t="s">
        <v>628</v>
      </c>
      <c r="B11" t="s">
        <v>1050</v>
      </c>
    </row>
    <row r="12" spans="1:2" x14ac:dyDescent="0.35">
      <c r="A12" t="s">
        <v>637</v>
      </c>
      <c r="B12" t="s">
        <v>136</v>
      </c>
    </row>
    <row r="13" spans="1:2" x14ac:dyDescent="0.35">
      <c r="A13" t="s">
        <v>628</v>
      </c>
      <c r="B13" t="s">
        <v>1051</v>
      </c>
    </row>
    <row r="14" spans="1:2" x14ac:dyDescent="0.35">
      <c r="A14" t="s">
        <v>628</v>
      </c>
      <c r="B14" t="s">
        <v>1052</v>
      </c>
    </row>
    <row r="15" spans="1:2" x14ac:dyDescent="0.35">
      <c r="A15" t="s">
        <v>630</v>
      </c>
      <c r="B15" t="s">
        <v>938</v>
      </c>
    </row>
    <row r="16" spans="1:2" x14ac:dyDescent="0.35">
      <c r="A16" t="s">
        <v>637</v>
      </c>
      <c r="B16" t="s">
        <v>1053</v>
      </c>
    </row>
    <row r="17" spans="1:2" x14ac:dyDescent="0.35">
      <c r="A17" t="s">
        <v>637</v>
      </c>
      <c r="B17" t="s">
        <v>1054</v>
      </c>
    </row>
    <row r="18" spans="1:2" x14ac:dyDescent="0.35">
      <c r="A18" t="s">
        <v>637</v>
      </c>
      <c r="B18" t="s">
        <v>1055</v>
      </c>
    </row>
    <row r="19" spans="1:2" x14ac:dyDescent="0.35">
      <c r="A19" t="s">
        <v>630</v>
      </c>
      <c r="B19" t="s">
        <v>1056</v>
      </c>
    </row>
    <row r="20" spans="1:2" x14ac:dyDescent="0.35">
      <c r="A20" t="s">
        <v>630</v>
      </c>
      <c r="B20" t="s">
        <v>1057</v>
      </c>
    </row>
    <row r="21" spans="1:2" x14ac:dyDescent="0.35">
      <c r="A21" t="s">
        <v>630</v>
      </c>
      <c r="B21" t="s">
        <v>948</v>
      </c>
    </row>
    <row r="22" spans="1:2" x14ac:dyDescent="0.35">
      <c r="A22" t="s">
        <v>630</v>
      </c>
      <c r="B22" t="s">
        <v>809</v>
      </c>
    </row>
    <row r="23" spans="1:2" x14ac:dyDescent="0.35">
      <c r="A23" t="s">
        <v>628</v>
      </c>
      <c r="B23" t="s">
        <v>1058</v>
      </c>
    </row>
    <row r="24" spans="1:2" x14ac:dyDescent="0.35">
      <c r="A24" t="s">
        <v>628</v>
      </c>
      <c r="B24" t="s">
        <v>1059</v>
      </c>
    </row>
    <row r="25" spans="1:2" x14ac:dyDescent="0.35">
      <c r="A25" t="s">
        <v>630</v>
      </c>
      <c r="B25" t="s">
        <v>1060</v>
      </c>
    </row>
    <row r="26" spans="1:2" x14ac:dyDescent="0.35">
      <c r="A26" t="s">
        <v>630</v>
      </c>
      <c r="B26" t="s">
        <v>650</v>
      </c>
    </row>
    <row r="27" spans="1:2" x14ac:dyDescent="0.35">
      <c r="A27" t="s">
        <v>637</v>
      </c>
      <c r="B27" t="s">
        <v>1061</v>
      </c>
    </row>
    <row r="28" spans="1:2" x14ac:dyDescent="0.35">
      <c r="A28" t="s">
        <v>637</v>
      </c>
      <c r="B28" t="s">
        <v>1062</v>
      </c>
    </row>
    <row r="29" spans="1:2" x14ac:dyDescent="0.35">
      <c r="A29" t="s">
        <v>630</v>
      </c>
      <c r="B29" t="s">
        <v>1063</v>
      </c>
    </row>
    <row r="30" spans="1:2" x14ac:dyDescent="0.35">
      <c r="A30" t="s">
        <v>628</v>
      </c>
      <c r="B30" t="s">
        <v>1064</v>
      </c>
    </row>
    <row r="31" spans="1:2" x14ac:dyDescent="0.35">
      <c r="A31" t="s">
        <v>637</v>
      </c>
      <c r="B31" t="s">
        <v>1065</v>
      </c>
    </row>
    <row r="32" spans="1:2" x14ac:dyDescent="0.35">
      <c r="A32" t="s">
        <v>637</v>
      </c>
      <c r="B32" t="s">
        <v>1066</v>
      </c>
    </row>
    <row r="33" spans="1:2" x14ac:dyDescent="0.35">
      <c r="A33" t="s">
        <v>637</v>
      </c>
      <c r="B33" t="s">
        <v>1067</v>
      </c>
    </row>
    <row r="34" spans="1:2" x14ac:dyDescent="0.35">
      <c r="A34" t="s">
        <v>630</v>
      </c>
      <c r="B34" t="s">
        <v>1068</v>
      </c>
    </row>
    <row r="35" spans="1:2" x14ac:dyDescent="0.35">
      <c r="A35" t="s">
        <v>637</v>
      </c>
      <c r="B35" t="s">
        <v>1069</v>
      </c>
    </row>
    <row r="36" spans="1:2" x14ac:dyDescent="0.35">
      <c r="A36" t="s">
        <v>637</v>
      </c>
      <c r="B36" t="s">
        <v>1070</v>
      </c>
    </row>
    <row r="37" spans="1:2" x14ac:dyDescent="0.35">
      <c r="A37" t="s">
        <v>632</v>
      </c>
      <c r="B37" t="s">
        <v>1071</v>
      </c>
    </row>
    <row r="38" spans="1:2" x14ac:dyDescent="0.35">
      <c r="A38" t="s">
        <v>632</v>
      </c>
      <c r="B38" t="s">
        <v>1072</v>
      </c>
    </row>
    <row r="39" spans="1:2" x14ac:dyDescent="0.35">
      <c r="A39" t="s">
        <v>630</v>
      </c>
      <c r="B39" t="s">
        <v>1073</v>
      </c>
    </row>
    <row r="40" spans="1:2" x14ac:dyDescent="0.35">
      <c r="A40" t="s">
        <v>630</v>
      </c>
      <c r="B40" t="s">
        <v>1074</v>
      </c>
    </row>
    <row r="41" spans="1:2" x14ac:dyDescent="0.35">
      <c r="A41" t="s">
        <v>630</v>
      </c>
      <c r="B41" t="s">
        <v>771</v>
      </c>
    </row>
    <row r="42" spans="1:2" x14ac:dyDescent="0.35">
      <c r="A42" t="s">
        <v>637</v>
      </c>
      <c r="B42" t="s">
        <v>1075</v>
      </c>
    </row>
    <row r="43" spans="1:2" x14ac:dyDescent="0.35">
      <c r="A43" t="s">
        <v>630</v>
      </c>
      <c r="B43" t="s">
        <v>1076</v>
      </c>
    </row>
    <row r="44" spans="1:2" x14ac:dyDescent="0.35">
      <c r="A44" t="s">
        <v>630</v>
      </c>
      <c r="B44" t="s">
        <v>1077</v>
      </c>
    </row>
    <row r="45" spans="1:2" x14ac:dyDescent="0.35">
      <c r="A45" t="s">
        <v>637</v>
      </c>
      <c r="B45" t="s">
        <v>770</v>
      </c>
    </row>
    <row r="46" spans="1:2" x14ac:dyDescent="0.35">
      <c r="A46" t="s">
        <v>630</v>
      </c>
      <c r="B46" t="s">
        <v>788</v>
      </c>
    </row>
    <row r="47" spans="1:2" x14ac:dyDescent="0.35">
      <c r="A47" t="s">
        <v>630</v>
      </c>
      <c r="B47" t="s">
        <v>1078</v>
      </c>
    </row>
    <row r="48" spans="1:2" x14ac:dyDescent="0.35">
      <c r="A48" t="s">
        <v>628</v>
      </c>
      <c r="B48" t="s">
        <v>1079</v>
      </c>
    </row>
    <row r="49" spans="1:2" x14ac:dyDescent="0.35">
      <c r="A49" t="s">
        <v>628</v>
      </c>
      <c r="B49" t="s">
        <v>696</v>
      </c>
    </row>
    <row r="50" spans="1:2" x14ac:dyDescent="0.35">
      <c r="A50" t="s">
        <v>637</v>
      </c>
      <c r="B50" t="s">
        <v>658</v>
      </c>
    </row>
    <row r="51" spans="1:2" x14ac:dyDescent="0.35">
      <c r="A51" t="s">
        <v>630</v>
      </c>
      <c r="B51" t="s">
        <v>1080</v>
      </c>
    </row>
    <row r="52" spans="1:2" x14ac:dyDescent="0.35">
      <c r="A52" t="s">
        <v>632</v>
      </c>
      <c r="B52" t="s">
        <v>1081</v>
      </c>
    </row>
    <row r="53" spans="1:2" x14ac:dyDescent="0.35">
      <c r="A53" t="s">
        <v>637</v>
      </c>
      <c r="B53" t="s">
        <v>1082</v>
      </c>
    </row>
    <row r="54" spans="1:2" x14ac:dyDescent="0.35">
      <c r="A54" t="s">
        <v>637</v>
      </c>
      <c r="B54" t="s">
        <v>1083</v>
      </c>
    </row>
    <row r="55" spans="1:2" x14ac:dyDescent="0.35">
      <c r="A55" t="s">
        <v>637</v>
      </c>
      <c r="B55" t="s">
        <v>656</v>
      </c>
    </row>
    <row r="56" spans="1:2" x14ac:dyDescent="0.35">
      <c r="A56" t="s">
        <v>646</v>
      </c>
      <c r="B56" t="s">
        <v>1084</v>
      </c>
    </row>
    <row r="57" spans="1:2" x14ac:dyDescent="0.35">
      <c r="A57" t="s">
        <v>628</v>
      </c>
      <c r="B57" t="s">
        <v>1085</v>
      </c>
    </row>
    <row r="58" spans="1:2" x14ac:dyDescent="0.35">
      <c r="A58" t="s">
        <v>637</v>
      </c>
      <c r="B58" t="s">
        <v>1086</v>
      </c>
    </row>
    <row r="59" spans="1:2" x14ac:dyDescent="0.35">
      <c r="A59" t="s">
        <v>630</v>
      </c>
      <c r="B59" t="s">
        <v>1087</v>
      </c>
    </row>
    <row r="60" spans="1:2" x14ac:dyDescent="0.35">
      <c r="A60" t="s">
        <v>628</v>
      </c>
      <c r="B60" t="s">
        <v>1088</v>
      </c>
    </row>
    <row r="61" spans="1:2" x14ac:dyDescent="0.35">
      <c r="A61" t="s">
        <v>637</v>
      </c>
      <c r="B61" t="s">
        <v>1089</v>
      </c>
    </row>
    <row r="62" spans="1:2" x14ac:dyDescent="0.35">
      <c r="A62" t="s">
        <v>637</v>
      </c>
      <c r="B62" t="s">
        <v>932</v>
      </c>
    </row>
    <row r="63" spans="1:2" x14ac:dyDescent="0.35">
      <c r="A63" t="s">
        <v>630</v>
      </c>
      <c r="B63" t="s">
        <v>1090</v>
      </c>
    </row>
    <row r="64" spans="1:2" x14ac:dyDescent="0.35">
      <c r="A64" t="s">
        <v>637</v>
      </c>
      <c r="B64" t="s">
        <v>1091</v>
      </c>
    </row>
    <row r="65" spans="1:2" x14ac:dyDescent="0.35">
      <c r="A65" t="s">
        <v>637</v>
      </c>
      <c r="B65" t="s">
        <v>723</v>
      </c>
    </row>
    <row r="66" spans="1:2" x14ac:dyDescent="0.35">
      <c r="A66" t="s">
        <v>632</v>
      </c>
      <c r="B66" t="s">
        <v>730</v>
      </c>
    </row>
    <row r="67" spans="1:2" x14ac:dyDescent="0.35">
      <c r="A67" t="s">
        <v>637</v>
      </c>
      <c r="B67" t="s">
        <v>670</v>
      </c>
    </row>
    <row r="68" spans="1:2" x14ac:dyDescent="0.35">
      <c r="A68" t="s">
        <v>630</v>
      </c>
      <c r="B68" t="s">
        <v>1092</v>
      </c>
    </row>
    <row r="69" spans="1:2" x14ac:dyDescent="0.35">
      <c r="A69" t="s">
        <v>628</v>
      </c>
      <c r="B69" t="s">
        <v>1018</v>
      </c>
    </row>
    <row r="70" spans="1:2" x14ac:dyDescent="0.35">
      <c r="A70" t="s">
        <v>637</v>
      </c>
      <c r="B70" t="s">
        <v>1093</v>
      </c>
    </row>
    <row r="71" spans="1:2" x14ac:dyDescent="0.35">
      <c r="A71" t="s">
        <v>630</v>
      </c>
      <c r="B71" t="s">
        <v>1094</v>
      </c>
    </row>
    <row r="72" spans="1:2" x14ac:dyDescent="0.35">
      <c r="A72" t="s">
        <v>637</v>
      </c>
      <c r="B72" t="s">
        <v>1095</v>
      </c>
    </row>
    <row r="73" spans="1:2" x14ac:dyDescent="0.35">
      <c r="A73" t="s">
        <v>632</v>
      </c>
      <c r="B73" t="s">
        <v>1096</v>
      </c>
    </row>
    <row r="74" spans="1:2" x14ac:dyDescent="0.35">
      <c r="A74" t="s">
        <v>630</v>
      </c>
      <c r="B74" t="s">
        <v>1000</v>
      </c>
    </row>
    <row r="75" spans="1:2" x14ac:dyDescent="0.35">
      <c r="A75" t="s">
        <v>628</v>
      </c>
      <c r="B75" t="s">
        <v>1097</v>
      </c>
    </row>
    <row r="76" spans="1:2" x14ac:dyDescent="0.35">
      <c r="A76" t="s">
        <v>637</v>
      </c>
      <c r="B76" t="s">
        <v>1098</v>
      </c>
    </row>
    <row r="77" spans="1:2" x14ac:dyDescent="0.35">
      <c r="A77" t="s">
        <v>632</v>
      </c>
      <c r="B77" t="s">
        <v>1008</v>
      </c>
    </row>
    <row r="78" spans="1:2" x14ac:dyDescent="0.35">
      <c r="A78" t="s">
        <v>630</v>
      </c>
      <c r="B78" t="s">
        <v>1099</v>
      </c>
    </row>
    <row r="79" spans="1:2" x14ac:dyDescent="0.35">
      <c r="A79" t="s">
        <v>632</v>
      </c>
      <c r="B79" t="s">
        <v>1100</v>
      </c>
    </row>
    <row r="80" spans="1:2" x14ac:dyDescent="0.35">
      <c r="A80" t="s">
        <v>630</v>
      </c>
      <c r="B80" t="s">
        <v>1101</v>
      </c>
    </row>
    <row r="81" spans="1:2" x14ac:dyDescent="0.35">
      <c r="A81" t="s">
        <v>630</v>
      </c>
      <c r="B81" t="s">
        <v>1102</v>
      </c>
    </row>
    <row r="82" spans="1:2" x14ac:dyDescent="0.35">
      <c r="A82" t="s">
        <v>630</v>
      </c>
      <c r="B82" t="s">
        <v>1103</v>
      </c>
    </row>
    <row r="83" spans="1:2" x14ac:dyDescent="0.35">
      <c r="A83" t="s">
        <v>630</v>
      </c>
      <c r="B83" t="s">
        <v>1104</v>
      </c>
    </row>
    <row r="84" spans="1:2" x14ac:dyDescent="0.35">
      <c r="A84" t="s">
        <v>628</v>
      </c>
      <c r="B84" t="s">
        <v>678</v>
      </c>
    </row>
    <row r="85" spans="1:2" x14ac:dyDescent="0.35">
      <c r="A85" t="s">
        <v>628</v>
      </c>
      <c r="B85" t="s">
        <v>748</v>
      </c>
    </row>
    <row r="86" spans="1:2" x14ac:dyDescent="0.35">
      <c r="A86" t="s">
        <v>630</v>
      </c>
      <c r="B86" t="s">
        <v>1105</v>
      </c>
    </row>
    <row r="87" spans="1:2" x14ac:dyDescent="0.35">
      <c r="A87" t="s">
        <v>628</v>
      </c>
      <c r="B87" t="s">
        <v>1106</v>
      </c>
    </row>
    <row r="88" spans="1:2" x14ac:dyDescent="0.35">
      <c r="A88" t="s">
        <v>630</v>
      </c>
      <c r="B88" t="s">
        <v>1107</v>
      </c>
    </row>
    <row r="89" spans="1:2" x14ac:dyDescent="0.35">
      <c r="A89" t="s">
        <v>630</v>
      </c>
      <c r="B89" t="s">
        <v>703</v>
      </c>
    </row>
    <row r="90" spans="1:2" x14ac:dyDescent="0.35">
      <c r="A90" t="s">
        <v>630</v>
      </c>
      <c r="B90" t="s">
        <v>1108</v>
      </c>
    </row>
    <row r="91" spans="1:2" x14ac:dyDescent="0.35">
      <c r="A91" t="s">
        <v>630</v>
      </c>
      <c r="B91" t="s">
        <v>1038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70"/>
  <sheetViews>
    <sheetView workbookViewId="0"/>
  </sheetViews>
  <sheetFormatPr defaultRowHeight="14.5" x14ac:dyDescent="0.35"/>
  <cols>
    <col min="1" max="3" width="30.7265625" customWidth="1"/>
  </cols>
  <sheetData>
    <row r="1" spans="1:2" s="3" customFormat="1" x14ac:dyDescent="0.35">
      <c r="A1" s="4" t="str">
        <f>HYPERLINK("#Tabulka!A428","Jaký pocit ze značky **O2 TV** máte?")</f>
        <v>Jaký pocit ze značky **O2 TV** máte?</v>
      </c>
    </row>
    <row r="2" spans="1:2" x14ac:dyDescent="0.35">
      <c r="A2" t="s">
        <v>632</v>
      </c>
      <c r="B2" t="s">
        <v>1111</v>
      </c>
    </row>
    <row r="3" spans="1:2" x14ac:dyDescent="0.35">
      <c r="A3" t="s">
        <v>632</v>
      </c>
      <c r="B3" t="s">
        <v>1112</v>
      </c>
    </row>
    <row r="4" spans="1:2" x14ac:dyDescent="0.35">
      <c r="A4" t="s">
        <v>637</v>
      </c>
      <c r="B4" t="s">
        <v>1113</v>
      </c>
    </row>
    <row r="5" spans="1:2" x14ac:dyDescent="0.35">
      <c r="A5" t="s">
        <v>637</v>
      </c>
      <c r="B5" t="s">
        <v>821</v>
      </c>
    </row>
    <row r="6" spans="1:2" x14ac:dyDescent="0.35">
      <c r="A6" t="s">
        <v>632</v>
      </c>
      <c r="B6" t="s">
        <v>1114</v>
      </c>
    </row>
    <row r="7" spans="1:2" x14ac:dyDescent="0.35">
      <c r="A7" t="s">
        <v>637</v>
      </c>
      <c r="B7" t="s">
        <v>1115</v>
      </c>
    </row>
    <row r="8" spans="1:2" x14ac:dyDescent="0.35">
      <c r="A8" t="s">
        <v>637</v>
      </c>
      <c r="B8" t="s">
        <v>1116</v>
      </c>
    </row>
    <row r="9" spans="1:2" x14ac:dyDescent="0.35">
      <c r="A9" t="s">
        <v>637</v>
      </c>
      <c r="B9" t="s">
        <v>1117</v>
      </c>
    </row>
    <row r="10" spans="1:2" x14ac:dyDescent="0.35">
      <c r="A10" t="s">
        <v>637</v>
      </c>
      <c r="B10" t="s">
        <v>815</v>
      </c>
    </row>
    <row r="11" spans="1:2" x14ac:dyDescent="0.35">
      <c r="A11" t="s">
        <v>637</v>
      </c>
      <c r="B11" t="s">
        <v>670</v>
      </c>
    </row>
    <row r="12" spans="1:2" x14ac:dyDescent="0.35">
      <c r="A12" t="s">
        <v>630</v>
      </c>
      <c r="B12" t="s">
        <v>1118</v>
      </c>
    </row>
    <row r="13" spans="1:2" x14ac:dyDescent="0.35">
      <c r="A13" t="s">
        <v>628</v>
      </c>
      <c r="B13" t="s">
        <v>1119</v>
      </c>
    </row>
    <row r="14" spans="1:2" x14ac:dyDescent="0.35">
      <c r="A14" t="s">
        <v>637</v>
      </c>
      <c r="B14" t="s">
        <v>850</v>
      </c>
    </row>
    <row r="15" spans="1:2" x14ac:dyDescent="0.35">
      <c r="A15" t="s">
        <v>646</v>
      </c>
      <c r="B15" t="s">
        <v>1120</v>
      </c>
    </row>
    <row r="16" spans="1:2" x14ac:dyDescent="0.35">
      <c r="A16" t="s">
        <v>628</v>
      </c>
      <c r="B16" t="s">
        <v>1121</v>
      </c>
    </row>
    <row r="17" spans="1:2" x14ac:dyDescent="0.35">
      <c r="A17" t="s">
        <v>646</v>
      </c>
      <c r="B17" t="s">
        <v>815</v>
      </c>
    </row>
    <row r="18" spans="1:2" x14ac:dyDescent="0.35">
      <c r="A18" t="s">
        <v>628</v>
      </c>
      <c r="B18" t="s">
        <v>1122</v>
      </c>
    </row>
    <row r="19" spans="1:2" x14ac:dyDescent="0.35">
      <c r="A19" t="s">
        <v>628</v>
      </c>
      <c r="B19" t="s">
        <v>1123</v>
      </c>
    </row>
    <row r="20" spans="1:2" x14ac:dyDescent="0.35">
      <c r="A20" t="s">
        <v>630</v>
      </c>
      <c r="B20" t="s">
        <v>1124</v>
      </c>
    </row>
    <row r="21" spans="1:2" x14ac:dyDescent="0.35">
      <c r="A21" t="s">
        <v>630</v>
      </c>
      <c r="B21" t="s">
        <v>874</v>
      </c>
    </row>
    <row r="22" spans="1:2" x14ac:dyDescent="0.35">
      <c r="A22" t="s">
        <v>630</v>
      </c>
      <c r="B22" t="s">
        <v>1125</v>
      </c>
    </row>
    <row r="23" spans="1:2" x14ac:dyDescent="0.35">
      <c r="A23" t="s">
        <v>637</v>
      </c>
      <c r="B23" t="s">
        <v>1126</v>
      </c>
    </row>
    <row r="24" spans="1:2" x14ac:dyDescent="0.35">
      <c r="A24" t="s">
        <v>646</v>
      </c>
      <c r="B24" t="s">
        <v>1127</v>
      </c>
    </row>
    <row r="25" spans="1:2" x14ac:dyDescent="0.35">
      <c r="A25" t="s">
        <v>630</v>
      </c>
      <c r="B25" t="s">
        <v>1128</v>
      </c>
    </row>
    <row r="26" spans="1:2" x14ac:dyDescent="0.35">
      <c r="A26" t="s">
        <v>646</v>
      </c>
      <c r="B26" t="s">
        <v>808</v>
      </c>
    </row>
    <row r="27" spans="1:2" x14ac:dyDescent="0.35">
      <c r="A27" t="s">
        <v>630</v>
      </c>
      <c r="B27" t="s">
        <v>1129</v>
      </c>
    </row>
    <row r="28" spans="1:2" x14ac:dyDescent="0.35">
      <c r="A28" t="s">
        <v>637</v>
      </c>
      <c r="B28" t="s">
        <v>136</v>
      </c>
    </row>
    <row r="29" spans="1:2" x14ac:dyDescent="0.35">
      <c r="A29" t="s">
        <v>637</v>
      </c>
      <c r="B29" t="s">
        <v>1130</v>
      </c>
    </row>
    <row r="30" spans="1:2" x14ac:dyDescent="0.35">
      <c r="A30" t="s">
        <v>628</v>
      </c>
      <c r="B30" t="s">
        <v>1131</v>
      </c>
    </row>
    <row r="31" spans="1:2" x14ac:dyDescent="0.35">
      <c r="A31" t="s">
        <v>630</v>
      </c>
      <c r="B31" t="s">
        <v>1132</v>
      </c>
    </row>
    <row r="32" spans="1:2" x14ac:dyDescent="0.35">
      <c r="A32" t="s">
        <v>630</v>
      </c>
      <c r="B32" t="s">
        <v>1133</v>
      </c>
    </row>
    <row r="33" spans="1:2" x14ac:dyDescent="0.35">
      <c r="A33" t="s">
        <v>630</v>
      </c>
      <c r="B33" t="s">
        <v>1134</v>
      </c>
    </row>
    <row r="34" spans="1:2" x14ac:dyDescent="0.35">
      <c r="A34" t="s">
        <v>630</v>
      </c>
      <c r="B34" t="s">
        <v>645</v>
      </c>
    </row>
    <row r="35" spans="1:2" x14ac:dyDescent="0.35">
      <c r="A35" t="s">
        <v>646</v>
      </c>
      <c r="B35" t="s">
        <v>1135</v>
      </c>
    </row>
    <row r="36" spans="1:2" x14ac:dyDescent="0.35">
      <c r="A36" t="s">
        <v>637</v>
      </c>
      <c r="B36" t="s">
        <v>1136</v>
      </c>
    </row>
    <row r="37" spans="1:2" x14ac:dyDescent="0.35">
      <c r="A37" t="s">
        <v>628</v>
      </c>
      <c r="B37" t="s">
        <v>1137</v>
      </c>
    </row>
    <row r="38" spans="1:2" x14ac:dyDescent="0.35">
      <c r="A38" t="s">
        <v>637</v>
      </c>
      <c r="B38" t="s">
        <v>1138</v>
      </c>
    </row>
    <row r="39" spans="1:2" x14ac:dyDescent="0.35">
      <c r="A39" t="s">
        <v>637</v>
      </c>
      <c r="B39" t="s">
        <v>1139</v>
      </c>
    </row>
    <row r="40" spans="1:2" x14ac:dyDescent="0.35">
      <c r="A40" t="s">
        <v>632</v>
      </c>
      <c r="B40" t="s">
        <v>1140</v>
      </c>
    </row>
    <row r="41" spans="1:2" x14ac:dyDescent="0.35">
      <c r="A41" t="s">
        <v>632</v>
      </c>
      <c r="B41" t="s">
        <v>1141</v>
      </c>
    </row>
    <row r="42" spans="1:2" x14ac:dyDescent="0.35">
      <c r="A42" t="s">
        <v>637</v>
      </c>
      <c r="B42" t="s">
        <v>661</v>
      </c>
    </row>
    <row r="43" spans="1:2" x14ac:dyDescent="0.35">
      <c r="A43" t="s">
        <v>637</v>
      </c>
      <c r="B43" t="s">
        <v>1142</v>
      </c>
    </row>
    <row r="44" spans="1:2" x14ac:dyDescent="0.35">
      <c r="A44" t="s">
        <v>637</v>
      </c>
      <c r="B44" t="s">
        <v>161</v>
      </c>
    </row>
    <row r="45" spans="1:2" x14ac:dyDescent="0.35">
      <c r="A45" t="s">
        <v>630</v>
      </c>
      <c r="B45" t="s">
        <v>650</v>
      </c>
    </row>
    <row r="46" spans="1:2" x14ac:dyDescent="0.35">
      <c r="A46" t="s">
        <v>637</v>
      </c>
      <c r="B46" t="s">
        <v>1143</v>
      </c>
    </row>
    <row r="47" spans="1:2" x14ac:dyDescent="0.35">
      <c r="A47" t="s">
        <v>637</v>
      </c>
      <c r="B47" t="s">
        <v>767</v>
      </c>
    </row>
    <row r="48" spans="1:2" x14ac:dyDescent="0.35">
      <c r="A48" t="s">
        <v>630</v>
      </c>
      <c r="B48" t="s">
        <v>1144</v>
      </c>
    </row>
    <row r="49" spans="1:2" x14ac:dyDescent="0.35">
      <c r="A49" t="s">
        <v>637</v>
      </c>
      <c r="B49" t="s">
        <v>1145</v>
      </c>
    </row>
    <row r="50" spans="1:2" x14ac:dyDescent="0.35">
      <c r="A50" t="s">
        <v>632</v>
      </c>
      <c r="B50" t="s">
        <v>1146</v>
      </c>
    </row>
    <row r="51" spans="1:2" x14ac:dyDescent="0.35">
      <c r="A51" t="s">
        <v>630</v>
      </c>
      <c r="B51" t="s">
        <v>1147</v>
      </c>
    </row>
    <row r="52" spans="1:2" x14ac:dyDescent="0.35">
      <c r="A52" t="s">
        <v>637</v>
      </c>
      <c r="B52" t="s">
        <v>1148</v>
      </c>
    </row>
    <row r="53" spans="1:2" x14ac:dyDescent="0.35">
      <c r="A53" t="s">
        <v>637</v>
      </c>
      <c r="B53" t="s">
        <v>1113</v>
      </c>
    </row>
    <row r="54" spans="1:2" x14ac:dyDescent="0.35">
      <c r="A54" t="s">
        <v>630</v>
      </c>
      <c r="B54" t="s">
        <v>1149</v>
      </c>
    </row>
    <row r="55" spans="1:2" x14ac:dyDescent="0.35">
      <c r="A55" t="s">
        <v>637</v>
      </c>
      <c r="B55" t="s">
        <v>1150</v>
      </c>
    </row>
    <row r="56" spans="1:2" x14ac:dyDescent="0.35">
      <c r="A56" t="s">
        <v>630</v>
      </c>
      <c r="B56" t="s">
        <v>1151</v>
      </c>
    </row>
    <row r="57" spans="1:2" x14ac:dyDescent="0.35">
      <c r="A57" t="s">
        <v>630</v>
      </c>
      <c r="B57" t="s">
        <v>1152</v>
      </c>
    </row>
    <row r="58" spans="1:2" x14ac:dyDescent="0.35">
      <c r="A58" t="s">
        <v>637</v>
      </c>
      <c r="B58" t="s">
        <v>1153</v>
      </c>
    </row>
    <row r="59" spans="1:2" x14ac:dyDescent="0.35">
      <c r="A59" t="s">
        <v>632</v>
      </c>
      <c r="B59" t="s">
        <v>1154</v>
      </c>
    </row>
    <row r="60" spans="1:2" x14ac:dyDescent="0.35">
      <c r="A60" t="s">
        <v>630</v>
      </c>
      <c r="B60" t="s">
        <v>1155</v>
      </c>
    </row>
    <row r="61" spans="1:2" x14ac:dyDescent="0.35">
      <c r="A61" t="s">
        <v>646</v>
      </c>
      <c r="B61" t="s">
        <v>1156</v>
      </c>
    </row>
    <row r="62" spans="1:2" x14ac:dyDescent="0.35">
      <c r="A62" t="s">
        <v>630</v>
      </c>
      <c r="B62" t="s">
        <v>1157</v>
      </c>
    </row>
    <row r="63" spans="1:2" x14ac:dyDescent="0.35">
      <c r="A63" t="s">
        <v>630</v>
      </c>
      <c r="B63" t="s">
        <v>1158</v>
      </c>
    </row>
    <row r="64" spans="1:2" x14ac:dyDescent="0.35">
      <c r="A64" t="s">
        <v>637</v>
      </c>
      <c r="B64" t="s">
        <v>1159</v>
      </c>
    </row>
    <row r="65" spans="1:2" x14ac:dyDescent="0.35">
      <c r="A65" t="s">
        <v>637</v>
      </c>
      <c r="B65" t="s">
        <v>1160</v>
      </c>
    </row>
    <row r="66" spans="1:2" x14ac:dyDescent="0.35">
      <c r="A66" t="s">
        <v>632</v>
      </c>
      <c r="B66" t="s">
        <v>1161</v>
      </c>
    </row>
    <row r="67" spans="1:2" x14ac:dyDescent="0.35">
      <c r="A67" t="s">
        <v>637</v>
      </c>
      <c r="B67" t="s">
        <v>1162</v>
      </c>
    </row>
    <row r="68" spans="1:2" x14ac:dyDescent="0.35">
      <c r="A68" t="s">
        <v>637</v>
      </c>
      <c r="B68" t="s">
        <v>1163</v>
      </c>
    </row>
    <row r="69" spans="1:2" x14ac:dyDescent="0.35">
      <c r="A69" t="s">
        <v>632</v>
      </c>
      <c r="B69" t="s">
        <v>1162</v>
      </c>
    </row>
    <row r="70" spans="1:2" x14ac:dyDescent="0.35">
      <c r="A70" t="s">
        <v>637</v>
      </c>
      <c r="B70" t="s">
        <v>1164</v>
      </c>
    </row>
    <row r="71" spans="1:2" x14ac:dyDescent="0.35">
      <c r="A71" t="s">
        <v>630</v>
      </c>
      <c r="B71" t="s">
        <v>1165</v>
      </c>
    </row>
    <row r="72" spans="1:2" x14ac:dyDescent="0.35">
      <c r="A72" t="s">
        <v>646</v>
      </c>
      <c r="B72" t="s">
        <v>1166</v>
      </c>
    </row>
    <row r="73" spans="1:2" x14ac:dyDescent="0.35">
      <c r="A73" t="s">
        <v>637</v>
      </c>
      <c r="B73" t="s">
        <v>1167</v>
      </c>
    </row>
    <row r="74" spans="1:2" x14ac:dyDescent="0.35">
      <c r="A74" t="s">
        <v>628</v>
      </c>
      <c r="B74" t="s">
        <v>1168</v>
      </c>
    </row>
    <row r="75" spans="1:2" x14ac:dyDescent="0.35">
      <c r="A75" t="s">
        <v>637</v>
      </c>
      <c r="B75" t="s">
        <v>1169</v>
      </c>
    </row>
    <row r="76" spans="1:2" x14ac:dyDescent="0.35">
      <c r="A76" t="s">
        <v>630</v>
      </c>
      <c r="B76" t="s">
        <v>1170</v>
      </c>
    </row>
    <row r="77" spans="1:2" x14ac:dyDescent="0.35">
      <c r="A77" t="s">
        <v>630</v>
      </c>
      <c r="B77" t="s">
        <v>1171</v>
      </c>
    </row>
    <row r="78" spans="1:2" x14ac:dyDescent="0.35">
      <c r="A78" t="s">
        <v>630</v>
      </c>
      <c r="B78" t="s">
        <v>801</v>
      </c>
    </row>
    <row r="79" spans="1:2" x14ac:dyDescent="0.35">
      <c r="A79" t="s">
        <v>637</v>
      </c>
      <c r="B79" t="s">
        <v>1172</v>
      </c>
    </row>
    <row r="80" spans="1:2" x14ac:dyDescent="0.35">
      <c r="A80" t="s">
        <v>628</v>
      </c>
      <c r="B80" t="s">
        <v>1173</v>
      </c>
    </row>
    <row r="81" spans="1:2" x14ac:dyDescent="0.35">
      <c r="A81" t="s">
        <v>637</v>
      </c>
      <c r="B81" t="s">
        <v>804</v>
      </c>
    </row>
    <row r="82" spans="1:2" x14ac:dyDescent="0.35">
      <c r="A82" t="s">
        <v>637</v>
      </c>
      <c r="B82" t="s">
        <v>1174</v>
      </c>
    </row>
    <row r="83" spans="1:2" x14ac:dyDescent="0.35">
      <c r="A83" t="s">
        <v>630</v>
      </c>
      <c r="B83" t="s">
        <v>650</v>
      </c>
    </row>
    <row r="84" spans="1:2" x14ac:dyDescent="0.35">
      <c r="A84" t="s">
        <v>637</v>
      </c>
      <c r="B84" t="s">
        <v>1175</v>
      </c>
    </row>
    <row r="85" spans="1:2" x14ac:dyDescent="0.35">
      <c r="A85" t="s">
        <v>637</v>
      </c>
      <c r="B85" t="s">
        <v>656</v>
      </c>
    </row>
    <row r="86" spans="1:2" x14ac:dyDescent="0.35">
      <c r="A86" t="s">
        <v>637</v>
      </c>
      <c r="B86" t="s">
        <v>807</v>
      </c>
    </row>
    <row r="87" spans="1:2" x14ac:dyDescent="0.35">
      <c r="A87" t="s">
        <v>630</v>
      </c>
      <c r="B87" t="s">
        <v>1176</v>
      </c>
    </row>
    <row r="88" spans="1:2" x14ac:dyDescent="0.35">
      <c r="A88" t="s">
        <v>630</v>
      </c>
      <c r="B88" t="s">
        <v>1177</v>
      </c>
    </row>
    <row r="89" spans="1:2" x14ac:dyDescent="0.35">
      <c r="A89" t="s">
        <v>646</v>
      </c>
      <c r="B89" t="s">
        <v>378</v>
      </c>
    </row>
    <row r="90" spans="1:2" x14ac:dyDescent="0.35">
      <c r="A90" t="s">
        <v>637</v>
      </c>
      <c r="B90" t="s">
        <v>1178</v>
      </c>
    </row>
    <row r="91" spans="1:2" x14ac:dyDescent="0.35">
      <c r="A91" t="s">
        <v>628</v>
      </c>
      <c r="B91" t="s">
        <v>676</v>
      </c>
    </row>
    <row r="92" spans="1:2" x14ac:dyDescent="0.35">
      <c r="A92" t="s">
        <v>628</v>
      </c>
      <c r="B92" t="s">
        <v>748</v>
      </c>
    </row>
    <row r="93" spans="1:2" x14ac:dyDescent="0.35">
      <c r="A93" t="s">
        <v>632</v>
      </c>
      <c r="B93" t="s">
        <v>662</v>
      </c>
    </row>
    <row r="94" spans="1:2" x14ac:dyDescent="0.35">
      <c r="A94" t="s">
        <v>637</v>
      </c>
      <c r="B94" t="s">
        <v>1179</v>
      </c>
    </row>
    <row r="95" spans="1:2" x14ac:dyDescent="0.35">
      <c r="A95" t="s">
        <v>646</v>
      </c>
      <c r="B95" t="s">
        <v>1180</v>
      </c>
    </row>
    <row r="96" spans="1:2" x14ac:dyDescent="0.35">
      <c r="A96" t="s">
        <v>630</v>
      </c>
      <c r="B96" t="s">
        <v>807</v>
      </c>
    </row>
    <row r="97" spans="1:2" x14ac:dyDescent="0.35">
      <c r="A97" t="s">
        <v>630</v>
      </c>
      <c r="B97" t="s">
        <v>1181</v>
      </c>
    </row>
    <row r="98" spans="1:2" x14ac:dyDescent="0.35">
      <c r="A98" t="s">
        <v>630</v>
      </c>
      <c r="B98" t="s">
        <v>1182</v>
      </c>
    </row>
    <row r="99" spans="1:2" x14ac:dyDescent="0.35">
      <c r="A99" t="s">
        <v>630</v>
      </c>
      <c r="B99" t="s">
        <v>1183</v>
      </c>
    </row>
    <row r="100" spans="1:2" x14ac:dyDescent="0.35">
      <c r="A100" t="s">
        <v>630</v>
      </c>
      <c r="B100" t="s">
        <v>678</v>
      </c>
    </row>
    <row r="101" spans="1:2" x14ac:dyDescent="0.35">
      <c r="A101" t="s">
        <v>630</v>
      </c>
      <c r="B101" t="s">
        <v>1184</v>
      </c>
    </row>
    <row r="102" spans="1:2" x14ac:dyDescent="0.35">
      <c r="A102" t="s">
        <v>637</v>
      </c>
      <c r="B102" t="s">
        <v>811</v>
      </c>
    </row>
    <row r="103" spans="1:2" x14ac:dyDescent="0.35">
      <c r="A103" t="s">
        <v>632</v>
      </c>
      <c r="B103" t="s">
        <v>1185</v>
      </c>
    </row>
    <row r="104" spans="1:2" x14ac:dyDescent="0.35">
      <c r="A104" t="s">
        <v>630</v>
      </c>
      <c r="B104" t="s">
        <v>1186</v>
      </c>
    </row>
    <row r="105" spans="1:2" x14ac:dyDescent="0.35">
      <c r="A105" t="s">
        <v>637</v>
      </c>
      <c r="B105" t="s">
        <v>674</v>
      </c>
    </row>
    <row r="106" spans="1:2" x14ac:dyDescent="0.35">
      <c r="A106" t="s">
        <v>630</v>
      </c>
      <c r="B106" t="s">
        <v>1187</v>
      </c>
    </row>
    <row r="107" spans="1:2" x14ac:dyDescent="0.35">
      <c r="A107" t="s">
        <v>630</v>
      </c>
      <c r="B107" t="s">
        <v>1188</v>
      </c>
    </row>
    <row r="108" spans="1:2" x14ac:dyDescent="0.35">
      <c r="A108" t="s">
        <v>646</v>
      </c>
      <c r="B108" t="s">
        <v>1189</v>
      </c>
    </row>
    <row r="109" spans="1:2" x14ac:dyDescent="0.35">
      <c r="A109" t="s">
        <v>628</v>
      </c>
      <c r="B109" t="s">
        <v>1190</v>
      </c>
    </row>
    <row r="110" spans="1:2" x14ac:dyDescent="0.35">
      <c r="A110" t="s">
        <v>646</v>
      </c>
      <c r="B110" t="s">
        <v>1191</v>
      </c>
    </row>
    <row r="111" spans="1:2" x14ac:dyDescent="0.35">
      <c r="A111" t="s">
        <v>637</v>
      </c>
      <c r="B111" t="s">
        <v>645</v>
      </c>
    </row>
    <row r="112" spans="1:2" x14ac:dyDescent="0.35">
      <c r="A112" t="s">
        <v>630</v>
      </c>
      <c r="B112" t="s">
        <v>1192</v>
      </c>
    </row>
    <row r="113" spans="1:2" x14ac:dyDescent="0.35">
      <c r="A113" t="s">
        <v>630</v>
      </c>
      <c r="B113" t="s">
        <v>1193</v>
      </c>
    </row>
    <row r="114" spans="1:2" x14ac:dyDescent="0.35">
      <c r="A114" t="s">
        <v>628</v>
      </c>
      <c r="B114" t="s">
        <v>759</v>
      </c>
    </row>
    <row r="115" spans="1:2" x14ac:dyDescent="0.35">
      <c r="A115" t="s">
        <v>637</v>
      </c>
      <c r="B115" t="s">
        <v>1194</v>
      </c>
    </row>
    <row r="116" spans="1:2" x14ac:dyDescent="0.35">
      <c r="A116" t="s">
        <v>630</v>
      </c>
      <c r="B116" t="s">
        <v>1195</v>
      </c>
    </row>
    <row r="117" spans="1:2" x14ac:dyDescent="0.35">
      <c r="A117" t="s">
        <v>637</v>
      </c>
      <c r="B117" t="s">
        <v>1196</v>
      </c>
    </row>
    <row r="118" spans="1:2" x14ac:dyDescent="0.35">
      <c r="A118" t="s">
        <v>637</v>
      </c>
      <c r="B118" t="s">
        <v>668</v>
      </c>
    </row>
    <row r="119" spans="1:2" x14ac:dyDescent="0.35">
      <c r="A119" t="s">
        <v>637</v>
      </c>
      <c r="B119" t="s">
        <v>821</v>
      </c>
    </row>
    <row r="120" spans="1:2" x14ac:dyDescent="0.35">
      <c r="A120" t="s">
        <v>637</v>
      </c>
      <c r="B120" t="s">
        <v>1197</v>
      </c>
    </row>
    <row r="121" spans="1:2" x14ac:dyDescent="0.35">
      <c r="A121" t="s">
        <v>630</v>
      </c>
      <c r="B121" t="s">
        <v>1198</v>
      </c>
    </row>
    <row r="122" spans="1:2" x14ac:dyDescent="0.35">
      <c r="A122" t="s">
        <v>630</v>
      </c>
      <c r="B122" t="s">
        <v>1026</v>
      </c>
    </row>
    <row r="123" spans="1:2" x14ac:dyDescent="0.35">
      <c r="A123" t="s">
        <v>637</v>
      </c>
      <c r="B123" t="s">
        <v>1199</v>
      </c>
    </row>
    <row r="124" spans="1:2" x14ac:dyDescent="0.35">
      <c r="A124" t="s">
        <v>637</v>
      </c>
      <c r="B124" t="s">
        <v>1200</v>
      </c>
    </row>
    <row r="125" spans="1:2" x14ac:dyDescent="0.35">
      <c r="A125" t="s">
        <v>630</v>
      </c>
      <c r="B125" t="s">
        <v>1201</v>
      </c>
    </row>
    <row r="126" spans="1:2" x14ac:dyDescent="0.35">
      <c r="A126" t="s">
        <v>632</v>
      </c>
      <c r="B126" t="s">
        <v>1202</v>
      </c>
    </row>
    <row r="127" spans="1:2" x14ac:dyDescent="0.35">
      <c r="A127" t="s">
        <v>637</v>
      </c>
      <c r="B127" t="s">
        <v>1203</v>
      </c>
    </row>
    <row r="128" spans="1:2" x14ac:dyDescent="0.35">
      <c r="A128" t="s">
        <v>637</v>
      </c>
      <c r="B128" t="s">
        <v>827</v>
      </c>
    </row>
    <row r="129" spans="1:2" x14ac:dyDescent="0.35">
      <c r="A129" t="s">
        <v>630</v>
      </c>
      <c r="B129" t="s">
        <v>1204</v>
      </c>
    </row>
    <row r="130" spans="1:2" x14ac:dyDescent="0.35">
      <c r="A130" t="s">
        <v>630</v>
      </c>
      <c r="B130" t="s">
        <v>1205</v>
      </c>
    </row>
    <row r="131" spans="1:2" x14ac:dyDescent="0.35">
      <c r="A131" t="s">
        <v>637</v>
      </c>
      <c r="B131" t="s">
        <v>1206</v>
      </c>
    </row>
    <row r="132" spans="1:2" x14ac:dyDescent="0.35">
      <c r="A132" t="s">
        <v>637</v>
      </c>
      <c r="B132" t="s">
        <v>843</v>
      </c>
    </row>
    <row r="133" spans="1:2" x14ac:dyDescent="0.35">
      <c r="A133" t="s">
        <v>637</v>
      </c>
      <c r="B133" t="s">
        <v>832</v>
      </c>
    </row>
    <row r="134" spans="1:2" x14ac:dyDescent="0.35">
      <c r="A134" t="s">
        <v>637</v>
      </c>
      <c r="B134" t="s">
        <v>1207</v>
      </c>
    </row>
    <row r="135" spans="1:2" x14ac:dyDescent="0.35">
      <c r="A135" t="s">
        <v>637</v>
      </c>
      <c r="B135" t="s">
        <v>675</v>
      </c>
    </row>
    <row r="136" spans="1:2" x14ac:dyDescent="0.35">
      <c r="A136" t="s">
        <v>632</v>
      </c>
      <c r="B136" t="s">
        <v>1162</v>
      </c>
    </row>
    <row r="137" spans="1:2" x14ac:dyDescent="0.35">
      <c r="A137" t="s">
        <v>646</v>
      </c>
      <c r="B137" t="s">
        <v>1208</v>
      </c>
    </row>
    <row r="138" spans="1:2" x14ac:dyDescent="0.35">
      <c r="A138" t="s">
        <v>630</v>
      </c>
      <c r="B138" t="s">
        <v>1209</v>
      </c>
    </row>
    <row r="139" spans="1:2" x14ac:dyDescent="0.35">
      <c r="A139" t="s">
        <v>637</v>
      </c>
      <c r="B139" t="s">
        <v>1210</v>
      </c>
    </row>
    <row r="140" spans="1:2" x14ac:dyDescent="0.35">
      <c r="A140" t="s">
        <v>630</v>
      </c>
      <c r="B140" t="s">
        <v>1211</v>
      </c>
    </row>
    <row r="141" spans="1:2" x14ac:dyDescent="0.35">
      <c r="A141" t="s">
        <v>630</v>
      </c>
      <c r="B141" t="s">
        <v>1212</v>
      </c>
    </row>
    <row r="142" spans="1:2" x14ac:dyDescent="0.35">
      <c r="A142" t="s">
        <v>630</v>
      </c>
      <c r="B142" t="s">
        <v>1213</v>
      </c>
    </row>
    <row r="143" spans="1:2" x14ac:dyDescent="0.35">
      <c r="A143" t="s">
        <v>646</v>
      </c>
      <c r="B143" t="s">
        <v>1214</v>
      </c>
    </row>
    <row r="144" spans="1:2" x14ac:dyDescent="0.35">
      <c r="A144" t="s">
        <v>632</v>
      </c>
      <c r="B144" t="s">
        <v>1215</v>
      </c>
    </row>
    <row r="145" spans="1:2" x14ac:dyDescent="0.35">
      <c r="A145" t="s">
        <v>646</v>
      </c>
      <c r="B145" t="s">
        <v>1216</v>
      </c>
    </row>
    <row r="146" spans="1:2" x14ac:dyDescent="0.35">
      <c r="A146" t="s">
        <v>630</v>
      </c>
      <c r="B146" t="s">
        <v>1217</v>
      </c>
    </row>
    <row r="147" spans="1:2" x14ac:dyDescent="0.35">
      <c r="A147" t="s">
        <v>630</v>
      </c>
      <c r="B147" t="s">
        <v>1218</v>
      </c>
    </row>
    <row r="148" spans="1:2" x14ac:dyDescent="0.35">
      <c r="A148" t="s">
        <v>637</v>
      </c>
      <c r="B148" t="s">
        <v>1219</v>
      </c>
    </row>
    <row r="149" spans="1:2" x14ac:dyDescent="0.35">
      <c r="A149" t="s">
        <v>630</v>
      </c>
      <c r="B149" t="s">
        <v>1220</v>
      </c>
    </row>
    <row r="150" spans="1:2" x14ac:dyDescent="0.35">
      <c r="A150" t="s">
        <v>630</v>
      </c>
      <c r="B150" t="s">
        <v>1221</v>
      </c>
    </row>
    <row r="151" spans="1:2" x14ac:dyDescent="0.35">
      <c r="A151" t="s">
        <v>630</v>
      </c>
      <c r="B151" t="s">
        <v>1222</v>
      </c>
    </row>
    <row r="152" spans="1:2" x14ac:dyDescent="0.35">
      <c r="A152" t="s">
        <v>632</v>
      </c>
      <c r="B152" t="s">
        <v>843</v>
      </c>
    </row>
    <row r="153" spans="1:2" x14ac:dyDescent="0.35">
      <c r="A153" t="s">
        <v>646</v>
      </c>
      <c r="B153" t="s">
        <v>161</v>
      </c>
    </row>
    <row r="154" spans="1:2" x14ac:dyDescent="0.35">
      <c r="A154" t="s">
        <v>637</v>
      </c>
      <c r="B154" t="s">
        <v>911</v>
      </c>
    </row>
    <row r="155" spans="1:2" x14ac:dyDescent="0.35">
      <c r="A155" t="s">
        <v>637</v>
      </c>
      <c r="B155" t="s">
        <v>1223</v>
      </c>
    </row>
    <row r="156" spans="1:2" x14ac:dyDescent="0.35">
      <c r="A156" t="s">
        <v>628</v>
      </c>
      <c r="B156" t="s">
        <v>1224</v>
      </c>
    </row>
    <row r="157" spans="1:2" x14ac:dyDescent="0.35">
      <c r="A157" t="s">
        <v>637</v>
      </c>
      <c r="B157" t="s">
        <v>788</v>
      </c>
    </row>
    <row r="158" spans="1:2" x14ac:dyDescent="0.35">
      <c r="A158" t="s">
        <v>630</v>
      </c>
      <c r="B158" t="s">
        <v>1225</v>
      </c>
    </row>
    <row r="159" spans="1:2" x14ac:dyDescent="0.35">
      <c r="A159" t="s">
        <v>637</v>
      </c>
      <c r="B159" t="s">
        <v>1226</v>
      </c>
    </row>
    <row r="160" spans="1:2" x14ac:dyDescent="0.35">
      <c r="A160" t="s">
        <v>646</v>
      </c>
      <c r="B160" t="s">
        <v>815</v>
      </c>
    </row>
    <row r="161" spans="1:2" x14ac:dyDescent="0.35">
      <c r="A161" t="s">
        <v>646</v>
      </c>
      <c r="B161" t="s">
        <v>1227</v>
      </c>
    </row>
    <row r="162" spans="1:2" x14ac:dyDescent="0.35">
      <c r="A162" t="s">
        <v>630</v>
      </c>
      <c r="B162" t="s">
        <v>1228</v>
      </c>
    </row>
    <row r="163" spans="1:2" x14ac:dyDescent="0.35">
      <c r="A163" t="s">
        <v>630</v>
      </c>
      <c r="B163" t="s">
        <v>678</v>
      </c>
    </row>
    <row r="164" spans="1:2" x14ac:dyDescent="0.35">
      <c r="A164" t="s">
        <v>646</v>
      </c>
      <c r="B164" t="s">
        <v>1229</v>
      </c>
    </row>
    <row r="165" spans="1:2" x14ac:dyDescent="0.35">
      <c r="A165" t="s">
        <v>630</v>
      </c>
      <c r="B165" t="s">
        <v>1230</v>
      </c>
    </row>
    <row r="166" spans="1:2" x14ac:dyDescent="0.35">
      <c r="A166" t="s">
        <v>628</v>
      </c>
      <c r="B166" t="s">
        <v>1231</v>
      </c>
    </row>
    <row r="167" spans="1:2" x14ac:dyDescent="0.35">
      <c r="A167" t="s">
        <v>637</v>
      </c>
      <c r="B167" t="s">
        <v>1232</v>
      </c>
    </row>
    <row r="168" spans="1:2" x14ac:dyDescent="0.35">
      <c r="A168" t="s">
        <v>637</v>
      </c>
      <c r="B168" t="s">
        <v>1233</v>
      </c>
    </row>
    <row r="169" spans="1:2" x14ac:dyDescent="0.35">
      <c r="A169" t="s">
        <v>637</v>
      </c>
      <c r="B169" t="s">
        <v>1190</v>
      </c>
    </row>
    <row r="170" spans="1:2" x14ac:dyDescent="0.35">
      <c r="A170" t="s">
        <v>637</v>
      </c>
      <c r="B170" t="s">
        <v>1234</v>
      </c>
    </row>
    <row r="171" spans="1:2" x14ac:dyDescent="0.35">
      <c r="A171" t="s">
        <v>632</v>
      </c>
      <c r="B171" t="s">
        <v>1235</v>
      </c>
    </row>
    <row r="172" spans="1:2" x14ac:dyDescent="0.35">
      <c r="A172" t="s">
        <v>630</v>
      </c>
      <c r="B172" t="s">
        <v>1236</v>
      </c>
    </row>
    <row r="173" spans="1:2" x14ac:dyDescent="0.35">
      <c r="A173" t="s">
        <v>637</v>
      </c>
      <c r="B173" t="s">
        <v>1237</v>
      </c>
    </row>
    <row r="174" spans="1:2" x14ac:dyDescent="0.35">
      <c r="A174" t="s">
        <v>637</v>
      </c>
      <c r="B174" t="s">
        <v>1238</v>
      </c>
    </row>
    <row r="175" spans="1:2" x14ac:dyDescent="0.35">
      <c r="A175" t="s">
        <v>630</v>
      </c>
      <c r="B175" t="s">
        <v>1239</v>
      </c>
    </row>
    <row r="176" spans="1:2" x14ac:dyDescent="0.35">
      <c r="A176" t="s">
        <v>630</v>
      </c>
      <c r="B176" t="s">
        <v>770</v>
      </c>
    </row>
    <row r="177" spans="1:2" x14ac:dyDescent="0.35">
      <c r="A177" t="s">
        <v>628</v>
      </c>
      <c r="B177" t="s">
        <v>1240</v>
      </c>
    </row>
    <row r="178" spans="1:2" x14ac:dyDescent="0.35">
      <c r="A178" t="s">
        <v>637</v>
      </c>
      <c r="B178" t="s">
        <v>1241</v>
      </c>
    </row>
    <row r="179" spans="1:2" x14ac:dyDescent="0.35">
      <c r="A179" t="s">
        <v>628</v>
      </c>
      <c r="B179" t="s">
        <v>1242</v>
      </c>
    </row>
    <row r="180" spans="1:2" x14ac:dyDescent="0.35">
      <c r="A180" t="s">
        <v>630</v>
      </c>
      <c r="B180" t="s">
        <v>1243</v>
      </c>
    </row>
    <row r="181" spans="1:2" x14ac:dyDescent="0.35">
      <c r="A181" t="s">
        <v>637</v>
      </c>
      <c r="B181" t="s">
        <v>1210</v>
      </c>
    </row>
    <row r="182" spans="1:2" x14ac:dyDescent="0.35">
      <c r="A182" t="s">
        <v>637</v>
      </c>
      <c r="B182" t="s">
        <v>1244</v>
      </c>
    </row>
    <row r="183" spans="1:2" x14ac:dyDescent="0.35">
      <c r="A183" t="s">
        <v>637</v>
      </c>
      <c r="B183" t="s">
        <v>670</v>
      </c>
    </row>
    <row r="184" spans="1:2" x14ac:dyDescent="0.35">
      <c r="A184" t="s">
        <v>630</v>
      </c>
      <c r="B184" t="s">
        <v>847</v>
      </c>
    </row>
    <row r="185" spans="1:2" x14ac:dyDescent="0.35">
      <c r="A185" t="s">
        <v>637</v>
      </c>
      <c r="B185" t="s">
        <v>1245</v>
      </c>
    </row>
    <row r="186" spans="1:2" x14ac:dyDescent="0.35">
      <c r="A186" t="s">
        <v>637</v>
      </c>
      <c r="B186" t="s">
        <v>866</v>
      </c>
    </row>
    <row r="187" spans="1:2" x14ac:dyDescent="0.35">
      <c r="A187" t="s">
        <v>628</v>
      </c>
      <c r="B187" t="s">
        <v>1246</v>
      </c>
    </row>
    <row r="188" spans="1:2" x14ac:dyDescent="0.35">
      <c r="A188" t="s">
        <v>637</v>
      </c>
      <c r="B188" t="s">
        <v>1247</v>
      </c>
    </row>
    <row r="189" spans="1:2" x14ac:dyDescent="0.35">
      <c r="A189" t="s">
        <v>637</v>
      </c>
      <c r="B189" t="s">
        <v>866</v>
      </c>
    </row>
    <row r="190" spans="1:2" x14ac:dyDescent="0.35">
      <c r="A190" t="s">
        <v>646</v>
      </c>
      <c r="B190" t="s">
        <v>1248</v>
      </c>
    </row>
    <row r="191" spans="1:2" x14ac:dyDescent="0.35">
      <c r="A191" t="s">
        <v>637</v>
      </c>
      <c r="B191" t="s">
        <v>1249</v>
      </c>
    </row>
    <row r="192" spans="1:2" x14ac:dyDescent="0.35">
      <c r="A192" t="s">
        <v>632</v>
      </c>
      <c r="B192" t="s">
        <v>1250</v>
      </c>
    </row>
    <row r="193" spans="1:2" x14ac:dyDescent="0.35">
      <c r="A193" t="s">
        <v>632</v>
      </c>
      <c r="B193" t="s">
        <v>1251</v>
      </c>
    </row>
    <row r="194" spans="1:2" x14ac:dyDescent="0.35">
      <c r="A194" t="s">
        <v>637</v>
      </c>
      <c r="B194" t="s">
        <v>161</v>
      </c>
    </row>
    <row r="195" spans="1:2" x14ac:dyDescent="0.35">
      <c r="A195" t="s">
        <v>637</v>
      </c>
      <c r="B195" t="s">
        <v>1252</v>
      </c>
    </row>
    <row r="196" spans="1:2" x14ac:dyDescent="0.35">
      <c r="A196" t="s">
        <v>630</v>
      </c>
      <c r="B196" t="s">
        <v>1253</v>
      </c>
    </row>
    <row r="197" spans="1:2" x14ac:dyDescent="0.35">
      <c r="A197" t="s">
        <v>630</v>
      </c>
      <c r="B197" t="s">
        <v>1254</v>
      </c>
    </row>
    <row r="198" spans="1:2" x14ac:dyDescent="0.35">
      <c r="A198" t="s">
        <v>632</v>
      </c>
      <c r="B198" t="s">
        <v>1255</v>
      </c>
    </row>
    <row r="199" spans="1:2" x14ac:dyDescent="0.35">
      <c r="A199" t="s">
        <v>637</v>
      </c>
      <c r="B199" t="s">
        <v>1256</v>
      </c>
    </row>
    <row r="200" spans="1:2" x14ac:dyDescent="0.35">
      <c r="A200" t="s">
        <v>630</v>
      </c>
      <c r="B200" t="s">
        <v>1257</v>
      </c>
    </row>
    <row r="201" spans="1:2" x14ac:dyDescent="0.35">
      <c r="A201" t="s">
        <v>637</v>
      </c>
      <c r="B201" t="s">
        <v>1258</v>
      </c>
    </row>
    <row r="202" spans="1:2" x14ac:dyDescent="0.35">
      <c r="A202" t="s">
        <v>630</v>
      </c>
      <c r="B202" t="s">
        <v>1075</v>
      </c>
    </row>
    <row r="203" spans="1:2" x14ac:dyDescent="0.35">
      <c r="A203" t="s">
        <v>628</v>
      </c>
      <c r="B203" t="s">
        <v>1259</v>
      </c>
    </row>
    <row r="204" spans="1:2" x14ac:dyDescent="0.35">
      <c r="A204" t="s">
        <v>630</v>
      </c>
      <c r="B204" t="s">
        <v>1260</v>
      </c>
    </row>
    <row r="205" spans="1:2" x14ac:dyDescent="0.35">
      <c r="A205" t="s">
        <v>637</v>
      </c>
      <c r="B205" t="s">
        <v>661</v>
      </c>
    </row>
    <row r="206" spans="1:2" x14ac:dyDescent="0.35">
      <c r="A206" t="s">
        <v>630</v>
      </c>
      <c r="B206" t="s">
        <v>650</v>
      </c>
    </row>
    <row r="207" spans="1:2" x14ac:dyDescent="0.35">
      <c r="A207" t="s">
        <v>632</v>
      </c>
      <c r="B207" t="s">
        <v>1261</v>
      </c>
    </row>
    <row r="208" spans="1:2" x14ac:dyDescent="0.35">
      <c r="A208" t="s">
        <v>628</v>
      </c>
      <c r="B208" t="s">
        <v>1262</v>
      </c>
    </row>
    <row r="209" spans="1:2" x14ac:dyDescent="0.35">
      <c r="A209" t="s">
        <v>630</v>
      </c>
      <c r="B209" t="s">
        <v>1263</v>
      </c>
    </row>
    <row r="210" spans="1:2" x14ac:dyDescent="0.35">
      <c r="A210" t="s">
        <v>632</v>
      </c>
      <c r="B210" t="s">
        <v>1261</v>
      </c>
    </row>
    <row r="211" spans="1:2" x14ac:dyDescent="0.35">
      <c r="A211" t="s">
        <v>637</v>
      </c>
      <c r="B211" t="s">
        <v>881</v>
      </c>
    </row>
    <row r="212" spans="1:2" x14ac:dyDescent="0.35">
      <c r="A212" t="s">
        <v>637</v>
      </c>
      <c r="B212" t="s">
        <v>1264</v>
      </c>
    </row>
    <row r="213" spans="1:2" x14ac:dyDescent="0.35">
      <c r="A213" t="s">
        <v>630</v>
      </c>
      <c r="B213" t="s">
        <v>920</v>
      </c>
    </row>
    <row r="214" spans="1:2" x14ac:dyDescent="0.35">
      <c r="A214" t="s">
        <v>630</v>
      </c>
      <c r="B214" t="s">
        <v>1265</v>
      </c>
    </row>
    <row r="215" spans="1:2" x14ac:dyDescent="0.35">
      <c r="A215" t="s">
        <v>637</v>
      </c>
      <c r="B215" t="s">
        <v>1266</v>
      </c>
    </row>
    <row r="216" spans="1:2" x14ac:dyDescent="0.35">
      <c r="A216" t="s">
        <v>628</v>
      </c>
      <c r="B216" t="s">
        <v>676</v>
      </c>
    </row>
    <row r="217" spans="1:2" x14ac:dyDescent="0.35">
      <c r="A217" t="s">
        <v>637</v>
      </c>
      <c r="B217" t="s">
        <v>1267</v>
      </c>
    </row>
    <row r="218" spans="1:2" x14ac:dyDescent="0.35">
      <c r="A218" t="s">
        <v>632</v>
      </c>
      <c r="B218" t="s">
        <v>1268</v>
      </c>
    </row>
    <row r="219" spans="1:2" x14ac:dyDescent="0.35">
      <c r="A219" t="s">
        <v>637</v>
      </c>
      <c r="B219" t="s">
        <v>1269</v>
      </c>
    </row>
    <row r="220" spans="1:2" x14ac:dyDescent="0.35">
      <c r="A220" t="s">
        <v>637</v>
      </c>
      <c r="B220" t="s">
        <v>1270</v>
      </c>
    </row>
    <row r="221" spans="1:2" x14ac:dyDescent="0.35">
      <c r="A221" t="s">
        <v>632</v>
      </c>
      <c r="B221" t="s">
        <v>991</v>
      </c>
    </row>
    <row r="222" spans="1:2" x14ac:dyDescent="0.35">
      <c r="A222" t="s">
        <v>632</v>
      </c>
      <c r="B222" t="s">
        <v>1271</v>
      </c>
    </row>
    <row r="223" spans="1:2" x14ac:dyDescent="0.35">
      <c r="A223" t="s">
        <v>628</v>
      </c>
      <c r="B223" t="s">
        <v>1272</v>
      </c>
    </row>
    <row r="224" spans="1:2" x14ac:dyDescent="0.35">
      <c r="A224" t="s">
        <v>632</v>
      </c>
      <c r="B224" t="s">
        <v>1273</v>
      </c>
    </row>
    <row r="225" spans="1:2" x14ac:dyDescent="0.35">
      <c r="A225" t="s">
        <v>630</v>
      </c>
      <c r="B225" t="s">
        <v>1274</v>
      </c>
    </row>
    <row r="226" spans="1:2" x14ac:dyDescent="0.35">
      <c r="A226" t="s">
        <v>637</v>
      </c>
      <c r="B226" t="s">
        <v>692</v>
      </c>
    </row>
    <row r="227" spans="1:2" x14ac:dyDescent="0.35">
      <c r="A227" t="s">
        <v>630</v>
      </c>
      <c r="B227" t="s">
        <v>1275</v>
      </c>
    </row>
    <row r="228" spans="1:2" x14ac:dyDescent="0.35">
      <c r="A228" t="s">
        <v>628</v>
      </c>
      <c r="B228" t="s">
        <v>1276</v>
      </c>
    </row>
    <row r="229" spans="1:2" x14ac:dyDescent="0.35">
      <c r="A229" t="s">
        <v>637</v>
      </c>
      <c r="B229" t="s">
        <v>850</v>
      </c>
    </row>
    <row r="230" spans="1:2" x14ac:dyDescent="0.35">
      <c r="A230" t="s">
        <v>630</v>
      </c>
      <c r="B230" t="s">
        <v>1277</v>
      </c>
    </row>
    <row r="231" spans="1:2" x14ac:dyDescent="0.35">
      <c r="A231" t="s">
        <v>630</v>
      </c>
      <c r="B231" t="s">
        <v>1278</v>
      </c>
    </row>
    <row r="232" spans="1:2" x14ac:dyDescent="0.35">
      <c r="A232" t="s">
        <v>632</v>
      </c>
      <c r="B232" t="s">
        <v>1279</v>
      </c>
    </row>
    <row r="233" spans="1:2" x14ac:dyDescent="0.35">
      <c r="A233" t="s">
        <v>637</v>
      </c>
      <c r="B233" t="s">
        <v>1280</v>
      </c>
    </row>
    <row r="234" spans="1:2" x14ac:dyDescent="0.35">
      <c r="A234" t="s">
        <v>637</v>
      </c>
      <c r="B234" t="s">
        <v>730</v>
      </c>
    </row>
    <row r="235" spans="1:2" x14ac:dyDescent="0.35">
      <c r="A235" t="s">
        <v>637</v>
      </c>
      <c r="B235" t="s">
        <v>1281</v>
      </c>
    </row>
    <row r="236" spans="1:2" x14ac:dyDescent="0.35">
      <c r="A236" t="s">
        <v>630</v>
      </c>
      <c r="B236" t="s">
        <v>1282</v>
      </c>
    </row>
    <row r="237" spans="1:2" x14ac:dyDescent="0.35">
      <c r="A237" t="s">
        <v>628</v>
      </c>
      <c r="B237" t="s">
        <v>1283</v>
      </c>
    </row>
    <row r="238" spans="1:2" x14ac:dyDescent="0.35">
      <c r="A238" t="s">
        <v>628</v>
      </c>
      <c r="B238" t="s">
        <v>1284</v>
      </c>
    </row>
    <row r="239" spans="1:2" x14ac:dyDescent="0.35">
      <c r="A239" t="s">
        <v>637</v>
      </c>
      <c r="B239" t="s">
        <v>1285</v>
      </c>
    </row>
    <row r="240" spans="1:2" x14ac:dyDescent="0.35">
      <c r="A240" t="s">
        <v>637</v>
      </c>
      <c r="B240" t="s">
        <v>1286</v>
      </c>
    </row>
    <row r="241" spans="1:2" x14ac:dyDescent="0.35">
      <c r="A241" t="s">
        <v>630</v>
      </c>
      <c r="B241" t="s">
        <v>1287</v>
      </c>
    </row>
    <row r="242" spans="1:2" x14ac:dyDescent="0.35">
      <c r="A242" t="s">
        <v>637</v>
      </c>
      <c r="B242" t="s">
        <v>1288</v>
      </c>
    </row>
    <row r="243" spans="1:2" x14ac:dyDescent="0.35">
      <c r="A243" t="s">
        <v>630</v>
      </c>
      <c r="B243" t="s">
        <v>1289</v>
      </c>
    </row>
    <row r="244" spans="1:2" x14ac:dyDescent="0.35">
      <c r="A244" t="s">
        <v>628</v>
      </c>
      <c r="B244" t="s">
        <v>1290</v>
      </c>
    </row>
    <row r="245" spans="1:2" x14ac:dyDescent="0.35">
      <c r="A245" t="s">
        <v>637</v>
      </c>
      <c r="B245" t="s">
        <v>902</v>
      </c>
    </row>
    <row r="246" spans="1:2" x14ac:dyDescent="0.35">
      <c r="A246" t="s">
        <v>632</v>
      </c>
      <c r="B246" t="s">
        <v>705</v>
      </c>
    </row>
    <row r="247" spans="1:2" x14ac:dyDescent="0.35">
      <c r="A247" t="s">
        <v>637</v>
      </c>
      <c r="B247" t="s">
        <v>1291</v>
      </c>
    </row>
    <row r="248" spans="1:2" x14ac:dyDescent="0.35">
      <c r="A248" t="s">
        <v>637</v>
      </c>
      <c r="B248" t="s">
        <v>1081</v>
      </c>
    </row>
    <row r="249" spans="1:2" x14ac:dyDescent="0.35">
      <c r="A249" t="s">
        <v>637</v>
      </c>
      <c r="B249" t="s">
        <v>661</v>
      </c>
    </row>
    <row r="250" spans="1:2" x14ac:dyDescent="0.35">
      <c r="A250" t="s">
        <v>630</v>
      </c>
      <c r="B250" t="s">
        <v>1292</v>
      </c>
    </row>
    <row r="251" spans="1:2" x14ac:dyDescent="0.35">
      <c r="A251" t="s">
        <v>628</v>
      </c>
      <c r="B251" t="s">
        <v>1293</v>
      </c>
    </row>
    <row r="252" spans="1:2" x14ac:dyDescent="0.35">
      <c r="A252" t="s">
        <v>637</v>
      </c>
      <c r="B252" t="s">
        <v>874</v>
      </c>
    </row>
    <row r="253" spans="1:2" x14ac:dyDescent="0.35">
      <c r="A253" t="s">
        <v>630</v>
      </c>
      <c r="B253" t="s">
        <v>850</v>
      </c>
    </row>
    <row r="254" spans="1:2" x14ac:dyDescent="0.35">
      <c r="A254" t="s">
        <v>646</v>
      </c>
      <c r="B254" t="s">
        <v>1294</v>
      </c>
    </row>
    <row r="255" spans="1:2" x14ac:dyDescent="0.35">
      <c r="A255" t="s">
        <v>630</v>
      </c>
      <c r="B255" t="s">
        <v>1295</v>
      </c>
    </row>
    <row r="256" spans="1:2" x14ac:dyDescent="0.35">
      <c r="A256" t="s">
        <v>637</v>
      </c>
      <c r="B256" t="s">
        <v>948</v>
      </c>
    </row>
    <row r="257" spans="1:2" x14ac:dyDescent="0.35">
      <c r="A257" t="s">
        <v>632</v>
      </c>
      <c r="B257" t="s">
        <v>1296</v>
      </c>
    </row>
    <row r="258" spans="1:2" x14ac:dyDescent="0.35">
      <c r="A258" t="s">
        <v>637</v>
      </c>
      <c r="B258" t="s">
        <v>1297</v>
      </c>
    </row>
    <row r="259" spans="1:2" x14ac:dyDescent="0.35">
      <c r="A259" t="s">
        <v>637</v>
      </c>
      <c r="B259" t="s">
        <v>656</v>
      </c>
    </row>
    <row r="260" spans="1:2" x14ac:dyDescent="0.35">
      <c r="A260" t="s">
        <v>637</v>
      </c>
      <c r="B260" t="s">
        <v>1298</v>
      </c>
    </row>
    <row r="261" spans="1:2" x14ac:dyDescent="0.35">
      <c r="A261" t="s">
        <v>637</v>
      </c>
      <c r="B261" t="s">
        <v>1299</v>
      </c>
    </row>
    <row r="262" spans="1:2" x14ac:dyDescent="0.35">
      <c r="A262" t="s">
        <v>637</v>
      </c>
      <c r="B262" t="s">
        <v>1300</v>
      </c>
    </row>
    <row r="263" spans="1:2" x14ac:dyDescent="0.35">
      <c r="A263" t="s">
        <v>637</v>
      </c>
      <c r="B263" t="s">
        <v>642</v>
      </c>
    </row>
    <row r="264" spans="1:2" x14ac:dyDescent="0.35">
      <c r="A264" t="s">
        <v>630</v>
      </c>
      <c r="B264" t="s">
        <v>1301</v>
      </c>
    </row>
    <row r="265" spans="1:2" x14ac:dyDescent="0.35">
      <c r="A265" t="s">
        <v>637</v>
      </c>
      <c r="B265" t="s">
        <v>1302</v>
      </c>
    </row>
    <row r="266" spans="1:2" x14ac:dyDescent="0.35">
      <c r="A266" t="s">
        <v>630</v>
      </c>
      <c r="B266" t="s">
        <v>1303</v>
      </c>
    </row>
    <row r="267" spans="1:2" x14ac:dyDescent="0.35">
      <c r="A267" t="s">
        <v>637</v>
      </c>
      <c r="B267" t="s">
        <v>645</v>
      </c>
    </row>
    <row r="268" spans="1:2" x14ac:dyDescent="0.35">
      <c r="A268" t="s">
        <v>637</v>
      </c>
      <c r="B268" t="s">
        <v>1162</v>
      </c>
    </row>
    <row r="269" spans="1:2" x14ac:dyDescent="0.35">
      <c r="A269" t="s">
        <v>637</v>
      </c>
      <c r="B269" t="s">
        <v>1261</v>
      </c>
    </row>
    <row r="270" spans="1:2" x14ac:dyDescent="0.35">
      <c r="A270" t="s">
        <v>637</v>
      </c>
      <c r="B270" t="s">
        <v>1304</v>
      </c>
    </row>
    <row r="271" spans="1:2" x14ac:dyDescent="0.35">
      <c r="A271" t="s">
        <v>630</v>
      </c>
      <c r="B271" t="s">
        <v>1305</v>
      </c>
    </row>
    <row r="272" spans="1:2" x14ac:dyDescent="0.35">
      <c r="A272" t="s">
        <v>630</v>
      </c>
      <c r="B272" t="s">
        <v>1306</v>
      </c>
    </row>
    <row r="273" spans="1:2" x14ac:dyDescent="0.35">
      <c r="A273" t="s">
        <v>630</v>
      </c>
      <c r="B273" t="s">
        <v>707</v>
      </c>
    </row>
    <row r="274" spans="1:2" x14ac:dyDescent="0.35">
      <c r="A274" t="s">
        <v>646</v>
      </c>
      <c r="B274" t="s">
        <v>730</v>
      </c>
    </row>
    <row r="275" spans="1:2" x14ac:dyDescent="0.35">
      <c r="A275" t="s">
        <v>637</v>
      </c>
      <c r="B275" t="s">
        <v>1307</v>
      </c>
    </row>
    <row r="276" spans="1:2" x14ac:dyDescent="0.35">
      <c r="A276" t="s">
        <v>637</v>
      </c>
      <c r="B276" t="s">
        <v>1308</v>
      </c>
    </row>
    <row r="277" spans="1:2" x14ac:dyDescent="0.35">
      <c r="A277" t="s">
        <v>628</v>
      </c>
      <c r="B277" t="s">
        <v>1309</v>
      </c>
    </row>
    <row r="278" spans="1:2" x14ac:dyDescent="0.35">
      <c r="A278" t="s">
        <v>637</v>
      </c>
      <c r="B278" t="s">
        <v>1310</v>
      </c>
    </row>
    <row r="279" spans="1:2" x14ac:dyDescent="0.35">
      <c r="A279" t="s">
        <v>637</v>
      </c>
      <c r="B279" t="s">
        <v>1311</v>
      </c>
    </row>
    <row r="280" spans="1:2" x14ac:dyDescent="0.35">
      <c r="A280" t="s">
        <v>630</v>
      </c>
      <c r="B280" t="s">
        <v>1312</v>
      </c>
    </row>
    <row r="281" spans="1:2" x14ac:dyDescent="0.35">
      <c r="A281" t="s">
        <v>632</v>
      </c>
      <c r="B281" t="s">
        <v>874</v>
      </c>
    </row>
    <row r="282" spans="1:2" x14ac:dyDescent="0.35">
      <c r="A282" t="s">
        <v>637</v>
      </c>
      <c r="B282" t="s">
        <v>1313</v>
      </c>
    </row>
    <row r="283" spans="1:2" x14ac:dyDescent="0.35">
      <c r="A283" t="s">
        <v>628</v>
      </c>
      <c r="B283" t="s">
        <v>709</v>
      </c>
    </row>
    <row r="284" spans="1:2" x14ac:dyDescent="0.35">
      <c r="A284" t="s">
        <v>637</v>
      </c>
      <c r="B284" t="s">
        <v>1314</v>
      </c>
    </row>
    <row r="285" spans="1:2" x14ac:dyDescent="0.35">
      <c r="A285" t="s">
        <v>630</v>
      </c>
      <c r="B285" t="s">
        <v>1315</v>
      </c>
    </row>
    <row r="286" spans="1:2" x14ac:dyDescent="0.35">
      <c r="A286" t="s">
        <v>630</v>
      </c>
      <c r="B286" t="s">
        <v>1316</v>
      </c>
    </row>
    <row r="287" spans="1:2" x14ac:dyDescent="0.35">
      <c r="A287" t="s">
        <v>628</v>
      </c>
      <c r="B287" t="s">
        <v>1317</v>
      </c>
    </row>
    <row r="288" spans="1:2" x14ac:dyDescent="0.35">
      <c r="A288" t="s">
        <v>637</v>
      </c>
      <c r="B288" t="s">
        <v>1318</v>
      </c>
    </row>
    <row r="289" spans="1:2" x14ac:dyDescent="0.35">
      <c r="A289" t="s">
        <v>630</v>
      </c>
      <c r="B289" t="s">
        <v>678</v>
      </c>
    </row>
    <row r="290" spans="1:2" x14ac:dyDescent="0.35">
      <c r="A290" t="s">
        <v>637</v>
      </c>
      <c r="B290" t="s">
        <v>681</v>
      </c>
    </row>
    <row r="291" spans="1:2" x14ac:dyDescent="0.35">
      <c r="A291" t="s">
        <v>630</v>
      </c>
      <c r="B291" t="s">
        <v>1319</v>
      </c>
    </row>
    <row r="292" spans="1:2" x14ac:dyDescent="0.35">
      <c r="A292" t="s">
        <v>637</v>
      </c>
      <c r="B292" t="s">
        <v>1320</v>
      </c>
    </row>
    <row r="293" spans="1:2" x14ac:dyDescent="0.35">
      <c r="A293" t="s">
        <v>628</v>
      </c>
      <c r="B293" t="s">
        <v>1321</v>
      </c>
    </row>
    <row r="294" spans="1:2" x14ac:dyDescent="0.35">
      <c r="A294" t="s">
        <v>637</v>
      </c>
      <c r="B294" t="s">
        <v>1322</v>
      </c>
    </row>
    <row r="295" spans="1:2" x14ac:dyDescent="0.35">
      <c r="A295" t="s">
        <v>630</v>
      </c>
      <c r="B295" t="s">
        <v>1323</v>
      </c>
    </row>
    <row r="296" spans="1:2" x14ac:dyDescent="0.35">
      <c r="A296" t="s">
        <v>637</v>
      </c>
      <c r="B296" t="s">
        <v>1324</v>
      </c>
    </row>
    <row r="297" spans="1:2" x14ac:dyDescent="0.35">
      <c r="A297" t="s">
        <v>637</v>
      </c>
      <c r="B297" t="s">
        <v>1325</v>
      </c>
    </row>
    <row r="298" spans="1:2" x14ac:dyDescent="0.35">
      <c r="A298" t="s">
        <v>632</v>
      </c>
      <c r="B298" t="s">
        <v>843</v>
      </c>
    </row>
    <row r="299" spans="1:2" x14ac:dyDescent="0.35">
      <c r="A299" t="s">
        <v>637</v>
      </c>
      <c r="B299" t="s">
        <v>769</v>
      </c>
    </row>
    <row r="300" spans="1:2" x14ac:dyDescent="0.35">
      <c r="A300" t="s">
        <v>630</v>
      </c>
      <c r="B300" t="s">
        <v>1326</v>
      </c>
    </row>
    <row r="301" spans="1:2" x14ac:dyDescent="0.35">
      <c r="A301" t="s">
        <v>637</v>
      </c>
      <c r="B301" t="s">
        <v>1327</v>
      </c>
    </row>
    <row r="302" spans="1:2" x14ac:dyDescent="0.35">
      <c r="A302" t="s">
        <v>646</v>
      </c>
      <c r="B302" t="s">
        <v>1328</v>
      </c>
    </row>
    <row r="303" spans="1:2" x14ac:dyDescent="0.35">
      <c r="A303" t="s">
        <v>637</v>
      </c>
      <c r="B303" t="s">
        <v>664</v>
      </c>
    </row>
    <row r="304" spans="1:2" x14ac:dyDescent="0.35">
      <c r="A304" t="s">
        <v>637</v>
      </c>
      <c r="B304" t="s">
        <v>656</v>
      </c>
    </row>
    <row r="305" spans="1:2" x14ac:dyDescent="0.35">
      <c r="A305" t="s">
        <v>637</v>
      </c>
      <c r="B305" t="s">
        <v>1329</v>
      </c>
    </row>
    <row r="306" spans="1:2" x14ac:dyDescent="0.35">
      <c r="A306" t="s">
        <v>637</v>
      </c>
      <c r="B306" t="s">
        <v>1318</v>
      </c>
    </row>
    <row r="307" spans="1:2" x14ac:dyDescent="0.35">
      <c r="A307" t="s">
        <v>637</v>
      </c>
      <c r="B307" t="s">
        <v>1330</v>
      </c>
    </row>
    <row r="308" spans="1:2" x14ac:dyDescent="0.35">
      <c r="A308" t="s">
        <v>630</v>
      </c>
      <c r="B308" t="s">
        <v>1331</v>
      </c>
    </row>
    <row r="309" spans="1:2" x14ac:dyDescent="0.35">
      <c r="A309" t="s">
        <v>630</v>
      </c>
      <c r="B309" t="s">
        <v>1332</v>
      </c>
    </row>
    <row r="310" spans="1:2" x14ac:dyDescent="0.35">
      <c r="A310" t="s">
        <v>637</v>
      </c>
      <c r="B310" t="s">
        <v>1333</v>
      </c>
    </row>
    <row r="311" spans="1:2" x14ac:dyDescent="0.35">
      <c r="A311" t="s">
        <v>637</v>
      </c>
      <c r="B311" t="s">
        <v>1334</v>
      </c>
    </row>
    <row r="312" spans="1:2" x14ac:dyDescent="0.35">
      <c r="A312" t="s">
        <v>630</v>
      </c>
      <c r="B312" t="s">
        <v>1335</v>
      </c>
    </row>
    <row r="313" spans="1:2" x14ac:dyDescent="0.35">
      <c r="A313" t="s">
        <v>637</v>
      </c>
      <c r="B313" t="s">
        <v>948</v>
      </c>
    </row>
    <row r="314" spans="1:2" x14ac:dyDescent="0.35">
      <c r="A314" t="s">
        <v>637</v>
      </c>
      <c r="B314" t="s">
        <v>1336</v>
      </c>
    </row>
    <row r="315" spans="1:2" x14ac:dyDescent="0.35">
      <c r="A315" t="s">
        <v>630</v>
      </c>
      <c r="B315" t="s">
        <v>1108</v>
      </c>
    </row>
    <row r="316" spans="1:2" x14ac:dyDescent="0.35">
      <c r="A316" t="s">
        <v>630</v>
      </c>
      <c r="B316" t="s">
        <v>1337</v>
      </c>
    </row>
    <row r="317" spans="1:2" x14ac:dyDescent="0.35">
      <c r="A317" t="s">
        <v>646</v>
      </c>
      <c r="B317" t="s">
        <v>1338</v>
      </c>
    </row>
    <row r="318" spans="1:2" x14ac:dyDescent="0.35">
      <c r="A318" t="s">
        <v>630</v>
      </c>
      <c r="B318" t="s">
        <v>1339</v>
      </c>
    </row>
    <row r="319" spans="1:2" x14ac:dyDescent="0.35">
      <c r="A319" t="s">
        <v>630</v>
      </c>
      <c r="B319" t="s">
        <v>1125</v>
      </c>
    </row>
    <row r="320" spans="1:2" x14ac:dyDescent="0.35">
      <c r="A320" t="s">
        <v>637</v>
      </c>
      <c r="B320" t="s">
        <v>161</v>
      </c>
    </row>
    <row r="321" spans="1:2" x14ac:dyDescent="0.35">
      <c r="A321" t="s">
        <v>637</v>
      </c>
      <c r="B321" t="s">
        <v>1340</v>
      </c>
    </row>
    <row r="322" spans="1:2" x14ac:dyDescent="0.35">
      <c r="A322" t="s">
        <v>630</v>
      </c>
      <c r="B322" t="s">
        <v>1341</v>
      </c>
    </row>
    <row r="323" spans="1:2" x14ac:dyDescent="0.35">
      <c r="A323" t="s">
        <v>637</v>
      </c>
      <c r="B323" t="s">
        <v>918</v>
      </c>
    </row>
    <row r="324" spans="1:2" x14ac:dyDescent="0.35">
      <c r="A324" t="s">
        <v>630</v>
      </c>
      <c r="B324" t="s">
        <v>1342</v>
      </c>
    </row>
    <row r="325" spans="1:2" x14ac:dyDescent="0.35">
      <c r="A325" t="s">
        <v>637</v>
      </c>
      <c r="B325" t="s">
        <v>956</v>
      </c>
    </row>
    <row r="326" spans="1:2" x14ac:dyDescent="0.35">
      <c r="A326" t="s">
        <v>632</v>
      </c>
      <c r="B326" t="s">
        <v>1343</v>
      </c>
    </row>
    <row r="327" spans="1:2" x14ac:dyDescent="0.35">
      <c r="A327" t="s">
        <v>630</v>
      </c>
      <c r="B327" t="s">
        <v>1344</v>
      </c>
    </row>
    <row r="328" spans="1:2" x14ac:dyDescent="0.35">
      <c r="A328" t="s">
        <v>637</v>
      </c>
      <c r="B328" t="s">
        <v>705</v>
      </c>
    </row>
    <row r="329" spans="1:2" x14ac:dyDescent="0.35">
      <c r="A329" t="s">
        <v>637</v>
      </c>
      <c r="B329" t="s">
        <v>1345</v>
      </c>
    </row>
    <row r="330" spans="1:2" x14ac:dyDescent="0.35">
      <c r="A330" t="s">
        <v>630</v>
      </c>
      <c r="B330" t="s">
        <v>1346</v>
      </c>
    </row>
    <row r="331" spans="1:2" x14ac:dyDescent="0.35">
      <c r="A331" t="s">
        <v>630</v>
      </c>
      <c r="B331" t="s">
        <v>1347</v>
      </c>
    </row>
    <row r="332" spans="1:2" x14ac:dyDescent="0.35">
      <c r="A332" t="s">
        <v>630</v>
      </c>
      <c r="B332" t="s">
        <v>1348</v>
      </c>
    </row>
    <row r="333" spans="1:2" x14ac:dyDescent="0.35">
      <c r="A333" t="s">
        <v>646</v>
      </c>
      <c r="B333" t="s">
        <v>1349</v>
      </c>
    </row>
    <row r="334" spans="1:2" x14ac:dyDescent="0.35">
      <c r="A334" t="s">
        <v>630</v>
      </c>
      <c r="B334" t="s">
        <v>678</v>
      </c>
    </row>
    <row r="335" spans="1:2" x14ac:dyDescent="0.35">
      <c r="A335" t="s">
        <v>637</v>
      </c>
      <c r="B335" t="s">
        <v>1350</v>
      </c>
    </row>
    <row r="336" spans="1:2" x14ac:dyDescent="0.35">
      <c r="A336" t="s">
        <v>630</v>
      </c>
      <c r="B336" t="s">
        <v>1351</v>
      </c>
    </row>
    <row r="337" spans="1:2" x14ac:dyDescent="0.35">
      <c r="A337" t="s">
        <v>632</v>
      </c>
      <c r="B337" t="s">
        <v>1352</v>
      </c>
    </row>
    <row r="338" spans="1:2" x14ac:dyDescent="0.35">
      <c r="A338" t="s">
        <v>637</v>
      </c>
      <c r="B338" t="s">
        <v>656</v>
      </c>
    </row>
    <row r="339" spans="1:2" x14ac:dyDescent="0.35">
      <c r="A339" t="s">
        <v>630</v>
      </c>
      <c r="B339" t="s">
        <v>1353</v>
      </c>
    </row>
    <row r="340" spans="1:2" x14ac:dyDescent="0.35">
      <c r="A340" t="s">
        <v>637</v>
      </c>
      <c r="B340" t="s">
        <v>1354</v>
      </c>
    </row>
    <row r="341" spans="1:2" x14ac:dyDescent="0.35">
      <c r="A341" t="s">
        <v>637</v>
      </c>
      <c r="B341" t="s">
        <v>1355</v>
      </c>
    </row>
    <row r="342" spans="1:2" x14ac:dyDescent="0.35">
      <c r="A342" t="s">
        <v>630</v>
      </c>
      <c r="B342" t="s">
        <v>1356</v>
      </c>
    </row>
    <row r="343" spans="1:2" x14ac:dyDescent="0.35">
      <c r="A343" t="s">
        <v>637</v>
      </c>
      <c r="B343" t="s">
        <v>1192</v>
      </c>
    </row>
    <row r="344" spans="1:2" x14ac:dyDescent="0.35">
      <c r="A344" t="s">
        <v>628</v>
      </c>
      <c r="B344" t="s">
        <v>1357</v>
      </c>
    </row>
    <row r="345" spans="1:2" x14ac:dyDescent="0.35">
      <c r="A345" t="s">
        <v>630</v>
      </c>
      <c r="B345" t="s">
        <v>1358</v>
      </c>
    </row>
    <row r="346" spans="1:2" x14ac:dyDescent="0.35">
      <c r="A346" t="s">
        <v>637</v>
      </c>
      <c r="B346" t="s">
        <v>1359</v>
      </c>
    </row>
    <row r="347" spans="1:2" x14ac:dyDescent="0.35">
      <c r="A347" t="s">
        <v>630</v>
      </c>
      <c r="B347" t="s">
        <v>1243</v>
      </c>
    </row>
    <row r="348" spans="1:2" x14ac:dyDescent="0.35">
      <c r="A348" t="s">
        <v>637</v>
      </c>
      <c r="B348" t="s">
        <v>1360</v>
      </c>
    </row>
    <row r="349" spans="1:2" x14ac:dyDescent="0.35">
      <c r="A349" t="s">
        <v>630</v>
      </c>
      <c r="B349" t="s">
        <v>950</v>
      </c>
    </row>
    <row r="350" spans="1:2" x14ac:dyDescent="0.35">
      <c r="A350" t="s">
        <v>632</v>
      </c>
      <c r="B350" t="s">
        <v>1361</v>
      </c>
    </row>
    <row r="351" spans="1:2" x14ac:dyDescent="0.35">
      <c r="A351" t="s">
        <v>630</v>
      </c>
      <c r="B351" t="s">
        <v>1362</v>
      </c>
    </row>
    <row r="352" spans="1:2" x14ac:dyDescent="0.35">
      <c r="A352" t="s">
        <v>628</v>
      </c>
      <c r="B352" t="s">
        <v>1363</v>
      </c>
    </row>
    <row r="353" spans="1:2" x14ac:dyDescent="0.35">
      <c r="A353" t="s">
        <v>637</v>
      </c>
      <c r="B353" t="s">
        <v>1364</v>
      </c>
    </row>
    <row r="354" spans="1:2" x14ac:dyDescent="0.35">
      <c r="A354" t="s">
        <v>630</v>
      </c>
      <c r="B354" t="s">
        <v>1365</v>
      </c>
    </row>
    <row r="355" spans="1:2" x14ac:dyDescent="0.35">
      <c r="A355" t="s">
        <v>637</v>
      </c>
      <c r="B355" t="s">
        <v>1366</v>
      </c>
    </row>
    <row r="356" spans="1:2" x14ac:dyDescent="0.35">
      <c r="A356" t="s">
        <v>637</v>
      </c>
      <c r="B356" t="s">
        <v>723</v>
      </c>
    </row>
    <row r="357" spans="1:2" x14ac:dyDescent="0.35">
      <c r="A357" t="s">
        <v>637</v>
      </c>
      <c r="B357" t="s">
        <v>1367</v>
      </c>
    </row>
    <row r="358" spans="1:2" x14ac:dyDescent="0.35">
      <c r="A358" t="s">
        <v>630</v>
      </c>
      <c r="B358" t="s">
        <v>650</v>
      </c>
    </row>
    <row r="359" spans="1:2" x14ac:dyDescent="0.35">
      <c r="A359" t="s">
        <v>637</v>
      </c>
      <c r="B359" t="s">
        <v>1368</v>
      </c>
    </row>
    <row r="360" spans="1:2" x14ac:dyDescent="0.35">
      <c r="A360" t="s">
        <v>632</v>
      </c>
      <c r="B360" t="s">
        <v>1369</v>
      </c>
    </row>
    <row r="361" spans="1:2" x14ac:dyDescent="0.35">
      <c r="A361" t="s">
        <v>637</v>
      </c>
      <c r="B361" t="s">
        <v>1370</v>
      </c>
    </row>
    <row r="362" spans="1:2" x14ac:dyDescent="0.35">
      <c r="A362" t="s">
        <v>637</v>
      </c>
      <c r="B362" t="s">
        <v>1371</v>
      </c>
    </row>
    <row r="363" spans="1:2" x14ac:dyDescent="0.35">
      <c r="A363" t="s">
        <v>630</v>
      </c>
      <c r="B363" t="s">
        <v>1372</v>
      </c>
    </row>
    <row r="364" spans="1:2" x14ac:dyDescent="0.35">
      <c r="A364" t="s">
        <v>630</v>
      </c>
      <c r="B364" t="s">
        <v>1373</v>
      </c>
    </row>
    <row r="365" spans="1:2" x14ac:dyDescent="0.35">
      <c r="A365" t="s">
        <v>628</v>
      </c>
      <c r="B365" t="s">
        <v>1374</v>
      </c>
    </row>
    <row r="366" spans="1:2" x14ac:dyDescent="0.35">
      <c r="A366" t="s">
        <v>646</v>
      </c>
      <c r="B366" t="s">
        <v>1375</v>
      </c>
    </row>
    <row r="367" spans="1:2" x14ac:dyDescent="0.35">
      <c r="A367" t="s">
        <v>630</v>
      </c>
      <c r="B367" t="s">
        <v>1376</v>
      </c>
    </row>
    <row r="368" spans="1:2" x14ac:dyDescent="0.35">
      <c r="A368" t="s">
        <v>628</v>
      </c>
      <c r="B368" t="s">
        <v>1377</v>
      </c>
    </row>
    <row r="369" spans="1:2" x14ac:dyDescent="0.35">
      <c r="A369" t="s">
        <v>630</v>
      </c>
      <c r="B369" t="s">
        <v>1378</v>
      </c>
    </row>
    <row r="370" spans="1:2" x14ac:dyDescent="0.35">
      <c r="A370" t="s">
        <v>637</v>
      </c>
      <c r="B370" t="s">
        <v>1379</v>
      </c>
    </row>
    <row r="371" spans="1:2" x14ac:dyDescent="0.35">
      <c r="A371" t="s">
        <v>646</v>
      </c>
      <c r="B371" t="s">
        <v>1380</v>
      </c>
    </row>
    <row r="372" spans="1:2" x14ac:dyDescent="0.35">
      <c r="A372" t="s">
        <v>637</v>
      </c>
      <c r="B372" t="s">
        <v>1381</v>
      </c>
    </row>
    <row r="373" spans="1:2" x14ac:dyDescent="0.35">
      <c r="A373" t="s">
        <v>646</v>
      </c>
      <c r="B373" t="s">
        <v>1382</v>
      </c>
    </row>
    <row r="374" spans="1:2" x14ac:dyDescent="0.35">
      <c r="A374" t="s">
        <v>628</v>
      </c>
      <c r="B374" t="s">
        <v>1383</v>
      </c>
    </row>
    <row r="375" spans="1:2" x14ac:dyDescent="0.35">
      <c r="A375" t="s">
        <v>632</v>
      </c>
      <c r="B375" t="s">
        <v>730</v>
      </c>
    </row>
    <row r="376" spans="1:2" x14ac:dyDescent="0.35">
      <c r="A376" t="s">
        <v>637</v>
      </c>
      <c r="B376" t="s">
        <v>1384</v>
      </c>
    </row>
    <row r="377" spans="1:2" x14ac:dyDescent="0.35">
      <c r="A377" t="s">
        <v>630</v>
      </c>
      <c r="B377" t="s">
        <v>1385</v>
      </c>
    </row>
    <row r="378" spans="1:2" x14ac:dyDescent="0.35">
      <c r="A378" t="s">
        <v>630</v>
      </c>
      <c r="B378" t="s">
        <v>1386</v>
      </c>
    </row>
    <row r="379" spans="1:2" x14ac:dyDescent="0.35">
      <c r="A379" t="s">
        <v>630</v>
      </c>
      <c r="B379" t="s">
        <v>920</v>
      </c>
    </row>
    <row r="380" spans="1:2" x14ac:dyDescent="0.35">
      <c r="A380" t="s">
        <v>637</v>
      </c>
      <c r="B380" t="s">
        <v>1387</v>
      </c>
    </row>
    <row r="381" spans="1:2" x14ac:dyDescent="0.35">
      <c r="A381" t="s">
        <v>632</v>
      </c>
      <c r="B381" t="s">
        <v>1388</v>
      </c>
    </row>
    <row r="382" spans="1:2" x14ac:dyDescent="0.35">
      <c r="A382" t="s">
        <v>628</v>
      </c>
      <c r="B382" t="s">
        <v>1018</v>
      </c>
    </row>
    <row r="383" spans="1:2" x14ac:dyDescent="0.35">
      <c r="A383" t="s">
        <v>630</v>
      </c>
      <c r="B383" t="s">
        <v>1389</v>
      </c>
    </row>
    <row r="384" spans="1:2" x14ac:dyDescent="0.35">
      <c r="A384" t="s">
        <v>637</v>
      </c>
      <c r="B384" t="s">
        <v>1390</v>
      </c>
    </row>
    <row r="385" spans="1:2" x14ac:dyDescent="0.35">
      <c r="A385" t="s">
        <v>630</v>
      </c>
      <c r="B385" t="s">
        <v>1391</v>
      </c>
    </row>
    <row r="386" spans="1:2" x14ac:dyDescent="0.35">
      <c r="A386" t="s">
        <v>637</v>
      </c>
      <c r="B386" t="s">
        <v>1392</v>
      </c>
    </row>
    <row r="387" spans="1:2" x14ac:dyDescent="0.35">
      <c r="A387" t="s">
        <v>637</v>
      </c>
      <c r="B387" t="s">
        <v>1393</v>
      </c>
    </row>
    <row r="388" spans="1:2" x14ac:dyDescent="0.35">
      <c r="A388" t="s">
        <v>630</v>
      </c>
      <c r="B388" t="s">
        <v>788</v>
      </c>
    </row>
    <row r="389" spans="1:2" x14ac:dyDescent="0.35">
      <c r="A389" t="s">
        <v>630</v>
      </c>
      <c r="B389" t="s">
        <v>1394</v>
      </c>
    </row>
    <row r="390" spans="1:2" x14ac:dyDescent="0.35">
      <c r="A390" t="s">
        <v>637</v>
      </c>
      <c r="B390" t="s">
        <v>996</v>
      </c>
    </row>
    <row r="391" spans="1:2" x14ac:dyDescent="0.35">
      <c r="A391" t="s">
        <v>637</v>
      </c>
      <c r="B391" t="s">
        <v>1395</v>
      </c>
    </row>
    <row r="392" spans="1:2" x14ac:dyDescent="0.35">
      <c r="A392" t="s">
        <v>628</v>
      </c>
      <c r="B392" t="s">
        <v>1396</v>
      </c>
    </row>
    <row r="393" spans="1:2" x14ac:dyDescent="0.35">
      <c r="A393" t="s">
        <v>630</v>
      </c>
      <c r="B393" t="s">
        <v>1397</v>
      </c>
    </row>
    <row r="394" spans="1:2" x14ac:dyDescent="0.35">
      <c r="A394" t="s">
        <v>646</v>
      </c>
      <c r="B394" t="s">
        <v>1398</v>
      </c>
    </row>
    <row r="395" spans="1:2" x14ac:dyDescent="0.35">
      <c r="A395" t="s">
        <v>628</v>
      </c>
      <c r="B395" t="s">
        <v>1399</v>
      </c>
    </row>
    <row r="396" spans="1:2" x14ac:dyDescent="0.35">
      <c r="A396" t="s">
        <v>630</v>
      </c>
      <c r="B396" t="s">
        <v>1400</v>
      </c>
    </row>
    <row r="397" spans="1:2" x14ac:dyDescent="0.35">
      <c r="A397" t="s">
        <v>630</v>
      </c>
      <c r="B397" t="s">
        <v>735</v>
      </c>
    </row>
    <row r="398" spans="1:2" x14ac:dyDescent="0.35">
      <c r="A398" t="s">
        <v>630</v>
      </c>
      <c r="B398" t="s">
        <v>1162</v>
      </c>
    </row>
    <row r="399" spans="1:2" x14ac:dyDescent="0.35">
      <c r="A399" t="s">
        <v>628</v>
      </c>
      <c r="B399" t="s">
        <v>1401</v>
      </c>
    </row>
    <row r="400" spans="1:2" x14ac:dyDescent="0.35">
      <c r="A400" t="s">
        <v>637</v>
      </c>
      <c r="B400" t="s">
        <v>670</v>
      </c>
    </row>
    <row r="401" spans="1:2" x14ac:dyDescent="0.35">
      <c r="A401" t="s">
        <v>637</v>
      </c>
      <c r="B401" t="s">
        <v>738</v>
      </c>
    </row>
    <row r="402" spans="1:2" x14ac:dyDescent="0.35">
      <c r="A402" t="s">
        <v>630</v>
      </c>
      <c r="B402" t="s">
        <v>696</v>
      </c>
    </row>
    <row r="403" spans="1:2" x14ac:dyDescent="0.35">
      <c r="A403" t="s">
        <v>628</v>
      </c>
      <c r="B403" t="s">
        <v>847</v>
      </c>
    </row>
    <row r="404" spans="1:2" x14ac:dyDescent="0.35">
      <c r="A404" t="s">
        <v>637</v>
      </c>
      <c r="B404" t="s">
        <v>686</v>
      </c>
    </row>
    <row r="405" spans="1:2" x14ac:dyDescent="0.35">
      <c r="A405" t="s">
        <v>637</v>
      </c>
      <c r="B405" t="s">
        <v>1162</v>
      </c>
    </row>
    <row r="406" spans="1:2" x14ac:dyDescent="0.35">
      <c r="A406" t="s">
        <v>630</v>
      </c>
      <c r="B406" t="s">
        <v>1402</v>
      </c>
    </row>
    <row r="407" spans="1:2" x14ac:dyDescent="0.35">
      <c r="A407" t="s">
        <v>637</v>
      </c>
      <c r="B407" t="s">
        <v>1403</v>
      </c>
    </row>
    <row r="408" spans="1:2" x14ac:dyDescent="0.35">
      <c r="A408" t="s">
        <v>637</v>
      </c>
      <c r="B408" t="s">
        <v>1404</v>
      </c>
    </row>
    <row r="409" spans="1:2" x14ac:dyDescent="0.35">
      <c r="A409" t="s">
        <v>646</v>
      </c>
      <c r="B409" t="s">
        <v>1405</v>
      </c>
    </row>
    <row r="410" spans="1:2" x14ac:dyDescent="0.35">
      <c r="A410" t="s">
        <v>628</v>
      </c>
      <c r="B410" t="s">
        <v>1406</v>
      </c>
    </row>
    <row r="411" spans="1:2" x14ac:dyDescent="0.35">
      <c r="A411" t="s">
        <v>632</v>
      </c>
      <c r="B411" t="s">
        <v>1407</v>
      </c>
    </row>
    <row r="412" spans="1:2" x14ac:dyDescent="0.35">
      <c r="A412" t="s">
        <v>637</v>
      </c>
      <c r="B412" t="s">
        <v>1408</v>
      </c>
    </row>
    <row r="413" spans="1:2" x14ac:dyDescent="0.35">
      <c r="A413" t="s">
        <v>637</v>
      </c>
      <c r="B413" t="s">
        <v>1012</v>
      </c>
    </row>
    <row r="414" spans="1:2" x14ac:dyDescent="0.35">
      <c r="A414" t="s">
        <v>630</v>
      </c>
      <c r="B414" t="s">
        <v>1409</v>
      </c>
    </row>
    <row r="415" spans="1:2" x14ac:dyDescent="0.35">
      <c r="A415" t="s">
        <v>637</v>
      </c>
      <c r="B415" t="s">
        <v>1410</v>
      </c>
    </row>
    <row r="416" spans="1:2" x14ac:dyDescent="0.35">
      <c r="A416" t="s">
        <v>637</v>
      </c>
      <c r="B416" t="s">
        <v>1411</v>
      </c>
    </row>
    <row r="417" spans="1:2" x14ac:dyDescent="0.35">
      <c r="A417" t="s">
        <v>630</v>
      </c>
      <c r="B417" t="s">
        <v>1412</v>
      </c>
    </row>
    <row r="418" spans="1:2" x14ac:dyDescent="0.35">
      <c r="A418" t="s">
        <v>646</v>
      </c>
      <c r="B418" t="s">
        <v>1413</v>
      </c>
    </row>
    <row r="419" spans="1:2" x14ac:dyDescent="0.35">
      <c r="A419" t="s">
        <v>630</v>
      </c>
      <c r="B419" t="s">
        <v>1414</v>
      </c>
    </row>
    <row r="420" spans="1:2" x14ac:dyDescent="0.35">
      <c r="A420" t="s">
        <v>646</v>
      </c>
      <c r="B420" t="s">
        <v>1415</v>
      </c>
    </row>
    <row r="421" spans="1:2" x14ac:dyDescent="0.35">
      <c r="A421" t="s">
        <v>630</v>
      </c>
      <c r="B421" t="s">
        <v>1416</v>
      </c>
    </row>
    <row r="422" spans="1:2" x14ac:dyDescent="0.35">
      <c r="A422" t="s">
        <v>637</v>
      </c>
      <c r="B422" t="s">
        <v>1093</v>
      </c>
    </row>
    <row r="423" spans="1:2" x14ac:dyDescent="0.35">
      <c r="A423" t="s">
        <v>637</v>
      </c>
      <c r="B423" t="s">
        <v>1417</v>
      </c>
    </row>
    <row r="424" spans="1:2" x14ac:dyDescent="0.35">
      <c r="A424" t="s">
        <v>637</v>
      </c>
      <c r="B424" t="s">
        <v>815</v>
      </c>
    </row>
    <row r="425" spans="1:2" x14ac:dyDescent="0.35">
      <c r="A425" t="s">
        <v>637</v>
      </c>
      <c r="B425" t="s">
        <v>701</v>
      </c>
    </row>
    <row r="426" spans="1:2" x14ac:dyDescent="0.35">
      <c r="A426" t="s">
        <v>637</v>
      </c>
      <c r="B426" t="s">
        <v>1418</v>
      </c>
    </row>
    <row r="427" spans="1:2" x14ac:dyDescent="0.35">
      <c r="A427" t="s">
        <v>628</v>
      </c>
      <c r="B427" t="s">
        <v>1020</v>
      </c>
    </row>
    <row r="428" spans="1:2" x14ac:dyDescent="0.35">
      <c r="A428" t="s">
        <v>630</v>
      </c>
      <c r="B428" t="s">
        <v>1419</v>
      </c>
    </row>
    <row r="429" spans="1:2" x14ac:dyDescent="0.35">
      <c r="A429" t="s">
        <v>637</v>
      </c>
      <c r="B429" t="s">
        <v>1420</v>
      </c>
    </row>
    <row r="430" spans="1:2" x14ac:dyDescent="0.35">
      <c r="A430" t="s">
        <v>646</v>
      </c>
      <c r="B430" t="s">
        <v>1421</v>
      </c>
    </row>
    <row r="431" spans="1:2" x14ac:dyDescent="0.35">
      <c r="A431" t="s">
        <v>630</v>
      </c>
      <c r="B431" t="s">
        <v>1422</v>
      </c>
    </row>
    <row r="432" spans="1:2" x14ac:dyDescent="0.35">
      <c r="A432" t="s">
        <v>630</v>
      </c>
      <c r="B432" t="s">
        <v>1423</v>
      </c>
    </row>
    <row r="433" spans="1:2" x14ac:dyDescent="0.35">
      <c r="A433" t="s">
        <v>630</v>
      </c>
      <c r="B433" t="s">
        <v>1424</v>
      </c>
    </row>
    <row r="434" spans="1:2" x14ac:dyDescent="0.35">
      <c r="A434" t="s">
        <v>637</v>
      </c>
      <c r="B434" t="s">
        <v>815</v>
      </c>
    </row>
    <row r="435" spans="1:2" x14ac:dyDescent="0.35">
      <c r="A435" t="s">
        <v>630</v>
      </c>
      <c r="B435" t="s">
        <v>1425</v>
      </c>
    </row>
    <row r="436" spans="1:2" x14ac:dyDescent="0.35">
      <c r="A436" t="s">
        <v>630</v>
      </c>
      <c r="B436" t="s">
        <v>1426</v>
      </c>
    </row>
    <row r="437" spans="1:2" x14ac:dyDescent="0.35">
      <c r="A437" t="s">
        <v>637</v>
      </c>
      <c r="B437" t="s">
        <v>681</v>
      </c>
    </row>
    <row r="438" spans="1:2" x14ac:dyDescent="0.35">
      <c r="A438" t="s">
        <v>630</v>
      </c>
      <c r="B438" t="s">
        <v>1427</v>
      </c>
    </row>
    <row r="439" spans="1:2" x14ac:dyDescent="0.35">
      <c r="A439" t="s">
        <v>632</v>
      </c>
      <c r="B439" t="s">
        <v>757</v>
      </c>
    </row>
    <row r="440" spans="1:2" x14ac:dyDescent="0.35">
      <c r="A440" t="s">
        <v>637</v>
      </c>
      <c r="B440" t="s">
        <v>948</v>
      </c>
    </row>
    <row r="441" spans="1:2" x14ac:dyDescent="0.35">
      <c r="A441" t="s">
        <v>630</v>
      </c>
      <c r="B441" t="s">
        <v>1428</v>
      </c>
    </row>
    <row r="442" spans="1:2" x14ac:dyDescent="0.35">
      <c r="A442" t="s">
        <v>632</v>
      </c>
      <c r="B442" t="s">
        <v>730</v>
      </c>
    </row>
    <row r="443" spans="1:2" x14ac:dyDescent="0.35">
      <c r="A443" t="s">
        <v>630</v>
      </c>
      <c r="B443" t="s">
        <v>1429</v>
      </c>
    </row>
    <row r="444" spans="1:2" x14ac:dyDescent="0.35">
      <c r="A444" t="s">
        <v>630</v>
      </c>
      <c r="B444" t="s">
        <v>1017</v>
      </c>
    </row>
    <row r="445" spans="1:2" x14ac:dyDescent="0.35">
      <c r="A445" t="s">
        <v>646</v>
      </c>
      <c r="B445" t="s">
        <v>1430</v>
      </c>
    </row>
    <row r="446" spans="1:2" x14ac:dyDescent="0.35">
      <c r="A446" t="s">
        <v>630</v>
      </c>
      <c r="B446" t="s">
        <v>1431</v>
      </c>
    </row>
    <row r="447" spans="1:2" x14ac:dyDescent="0.35">
      <c r="A447" t="s">
        <v>637</v>
      </c>
      <c r="B447" t="s">
        <v>1432</v>
      </c>
    </row>
    <row r="448" spans="1:2" x14ac:dyDescent="0.35">
      <c r="A448" t="s">
        <v>630</v>
      </c>
      <c r="B448" t="s">
        <v>1433</v>
      </c>
    </row>
    <row r="449" spans="1:2" x14ac:dyDescent="0.35">
      <c r="A449" t="s">
        <v>630</v>
      </c>
      <c r="B449" t="s">
        <v>1434</v>
      </c>
    </row>
    <row r="450" spans="1:2" x14ac:dyDescent="0.35">
      <c r="A450" t="s">
        <v>630</v>
      </c>
      <c r="B450" t="s">
        <v>1435</v>
      </c>
    </row>
    <row r="451" spans="1:2" x14ac:dyDescent="0.35">
      <c r="A451" t="s">
        <v>628</v>
      </c>
      <c r="B451" t="s">
        <v>1026</v>
      </c>
    </row>
    <row r="452" spans="1:2" x14ac:dyDescent="0.35">
      <c r="A452" t="s">
        <v>637</v>
      </c>
      <c r="B452" t="s">
        <v>1436</v>
      </c>
    </row>
    <row r="453" spans="1:2" x14ac:dyDescent="0.35">
      <c r="A453" t="s">
        <v>630</v>
      </c>
      <c r="B453" t="s">
        <v>1033</v>
      </c>
    </row>
    <row r="454" spans="1:2" x14ac:dyDescent="0.35">
      <c r="A454" t="s">
        <v>637</v>
      </c>
      <c r="B454" t="s">
        <v>161</v>
      </c>
    </row>
    <row r="455" spans="1:2" x14ac:dyDescent="0.35">
      <c r="A455" t="s">
        <v>637</v>
      </c>
      <c r="B455" t="s">
        <v>1437</v>
      </c>
    </row>
    <row r="456" spans="1:2" x14ac:dyDescent="0.35">
      <c r="A456" t="s">
        <v>637</v>
      </c>
      <c r="B456" t="s">
        <v>1438</v>
      </c>
    </row>
    <row r="457" spans="1:2" x14ac:dyDescent="0.35">
      <c r="A457" t="s">
        <v>637</v>
      </c>
      <c r="B457" t="s">
        <v>681</v>
      </c>
    </row>
    <row r="458" spans="1:2" x14ac:dyDescent="0.35">
      <c r="A458" t="s">
        <v>628</v>
      </c>
      <c r="B458" t="s">
        <v>1439</v>
      </c>
    </row>
    <row r="459" spans="1:2" x14ac:dyDescent="0.35">
      <c r="A459" t="s">
        <v>628</v>
      </c>
      <c r="B459" t="s">
        <v>856</v>
      </c>
    </row>
    <row r="460" spans="1:2" x14ac:dyDescent="0.35">
      <c r="A460" t="s">
        <v>637</v>
      </c>
      <c r="B460" t="s">
        <v>656</v>
      </c>
    </row>
    <row r="461" spans="1:2" x14ac:dyDescent="0.35">
      <c r="A461" t="s">
        <v>637</v>
      </c>
      <c r="B461" t="s">
        <v>664</v>
      </c>
    </row>
    <row r="462" spans="1:2" x14ac:dyDescent="0.35">
      <c r="A462" t="s">
        <v>632</v>
      </c>
      <c r="B462" t="s">
        <v>1440</v>
      </c>
    </row>
    <row r="463" spans="1:2" x14ac:dyDescent="0.35">
      <c r="A463" t="s">
        <v>630</v>
      </c>
      <c r="B463" t="s">
        <v>1441</v>
      </c>
    </row>
    <row r="464" spans="1:2" x14ac:dyDescent="0.35">
      <c r="A464" t="s">
        <v>630</v>
      </c>
      <c r="B464" t="s">
        <v>1442</v>
      </c>
    </row>
    <row r="465" spans="1:2" x14ac:dyDescent="0.35">
      <c r="A465" t="s">
        <v>630</v>
      </c>
      <c r="B465" t="s">
        <v>765</v>
      </c>
    </row>
    <row r="466" spans="1:2" x14ac:dyDescent="0.35">
      <c r="A466" t="s">
        <v>637</v>
      </c>
      <c r="B466" t="s">
        <v>989</v>
      </c>
    </row>
    <row r="467" spans="1:2" x14ac:dyDescent="0.35">
      <c r="A467" t="s">
        <v>630</v>
      </c>
      <c r="B467" t="s">
        <v>1443</v>
      </c>
    </row>
    <row r="468" spans="1:2" x14ac:dyDescent="0.35">
      <c r="A468" t="s">
        <v>637</v>
      </c>
      <c r="B468" t="s">
        <v>1444</v>
      </c>
    </row>
    <row r="469" spans="1:2" x14ac:dyDescent="0.35">
      <c r="A469" t="s">
        <v>628</v>
      </c>
      <c r="B469" t="s">
        <v>1445</v>
      </c>
    </row>
    <row r="470" spans="1:2" x14ac:dyDescent="0.35">
      <c r="A470" t="s">
        <v>637</v>
      </c>
      <c r="B470" t="s">
        <v>1446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8"/>
  <sheetViews>
    <sheetView workbookViewId="0"/>
  </sheetViews>
  <sheetFormatPr defaultRowHeight="14.5" x14ac:dyDescent="0.35"/>
  <cols>
    <col min="1" max="3" width="30.7265625" customWidth="1"/>
  </cols>
  <sheetData>
    <row r="1" spans="1:2" s="3" customFormat="1" x14ac:dyDescent="0.35">
      <c r="A1" s="4" t="str">
        <f>HYPERLINK("#Tabulka!A459","Jaký pocit ze značky **Lepší.TV** máte?")</f>
        <v>Jaký pocit ze značky **Lepší.TV** máte?</v>
      </c>
    </row>
    <row r="2" spans="1:2" x14ac:dyDescent="0.35">
      <c r="A2" t="s">
        <v>630</v>
      </c>
      <c r="B2" t="s">
        <v>1449</v>
      </c>
    </row>
    <row r="3" spans="1:2" x14ac:dyDescent="0.35">
      <c r="A3" t="s">
        <v>637</v>
      </c>
      <c r="B3" t="s">
        <v>1450</v>
      </c>
    </row>
    <row r="4" spans="1:2" x14ac:dyDescent="0.35">
      <c r="A4" t="s">
        <v>628</v>
      </c>
      <c r="B4" t="s">
        <v>1451</v>
      </c>
    </row>
    <row r="5" spans="1:2" x14ac:dyDescent="0.35">
      <c r="A5" t="s">
        <v>637</v>
      </c>
      <c r="B5" t="s">
        <v>664</v>
      </c>
    </row>
    <row r="6" spans="1:2" x14ac:dyDescent="0.35">
      <c r="A6" t="s">
        <v>628</v>
      </c>
      <c r="B6" t="s">
        <v>1452</v>
      </c>
    </row>
    <row r="7" spans="1:2" x14ac:dyDescent="0.35">
      <c r="A7" t="s">
        <v>628</v>
      </c>
      <c r="B7" t="s">
        <v>1453</v>
      </c>
    </row>
    <row r="8" spans="1:2" x14ac:dyDescent="0.35">
      <c r="A8" t="s">
        <v>630</v>
      </c>
      <c r="B8" t="s">
        <v>657</v>
      </c>
    </row>
    <row r="9" spans="1:2" x14ac:dyDescent="0.35">
      <c r="A9" t="s">
        <v>630</v>
      </c>
      <c r="B9" t="s">
        <v>1128</v>
      </c>
    </row>
    <row r="10" spans="1:2" x14ac:dyDescent="0.35">
      <c r="A10" t="s">
        <v>630</v>
      </c>
      <c r="B10" t="s">
        <v>1454</v>
      </c>
    </row>
    <row r="11" spans="1:2" x14ac:dyDescent="0.35">
      <c r="A11" t="s">
        <v>632</v>
      </c>
      <c r="B11" t="s">
        <v>1455</v>
      </c>
    </row>
    <row r="12" spans="1:2" x14ac:dyDescent="0.35">
      <c r="A12" t="s">
        <v>637</v>
      </c>
      <c r="B12" t="s">
        <v>770</v>
      </c>
    </row>
    <row r="13" spans="1:2" x14ac:dyDescent="0.35">
      <c r="A13" t="s">
        <v>630</v>
      </c>
      <c r="B13" t="s">
        <v>1456</v>
      </c>
    </row>
    <row r="14" spans="1:2" x14ac:dyDescent="0.35">
      <c r="A14" t="s">
        <v>637</v>
      </c>
      <c r="B14" t="s">
        <v>1457</v>
      </c>
    </row>
    <row r="15" spans="1:2" x14ac:dyDescent="0.35">
      <c r="A15" t="s">
        <v>630</v>
      </c>
      <c r="B15" t="s">
        <v>1458</v>
      </c>
    </row>
    <row r="16" spans="1:2" x14ac:dyDescent="0.35">
      <c r="A16" t="s">
        <v>637</v>
      </c>
      <c r="B16" t="s">
        <v>649</v>
      </c>
    </row>
    <row r="17" spans="1:2" x14ac:dyDescent="0.35">
      <c r="A17" t="s">
        <v>637</v>
      </c>
      <c r="B17" t="s">
        <v>1082</v>
      </c>
    </row>
    <row r="18" spans="1:2" x14ac:dyDescent="0.35">
      <c r="A18" t="s">
        <v>630</v>
      </c>
      <c r="B18" t="s">
        <v>1459</v>
      </c>
    </row>
    <row r="19" spans="1:2" x14ac:dyDescent="0.35">
      <c r="A19" t="s">
        <v>637</v>
      </c>
      <c r="B19" t="s">
        <v>1460</v>
      </c>
    </row>
    <row r="20" spans="1:2" x14ac:dyDescent="0.35">
      <c r="A20" t="s">
        <v>637</v>
      </c>
      <c r="B20" t="s">
        <v>681</v>
      </c>
    </row>
    <row r="21" spans="1:2" x14ac:dyDescent="0.35">
      <c r="A21" t="s">
        <v>630</v>
      </c>
      <c r="B21" t="s">
        <v>655</v>
      </c>
    </row>
    <row r="22" spans="1:2" x14ac:dyDescent="0.35">
      <c r="A22" t="s">
        <v>630</v>
      </c>
      <c r="B22" t="s">
        <v>1461</v>
      </c>
    </row>
    <row r="23" spans="1:2" x14ac:dyDescent="0.35">
      <c r="A23" t="s">
        <v>637</v>
      </c>
      <c r="B23" t="s">
        <v>656</v>
      </c>
    </row>
    <row r="24" spans="1:2" x14ac:dyDescent="0.35">
      <c r="A24" t="s">
        <v>630</v>
      </c>
      <c r="B24" t="s">
        <v>1462</v>
      </c>
    </row>
    <row r="25" spans="1:2" x14ac:dyDescent="0.35">
      <c r="A25" t="s">
        <v>637</v>
      </c>
      <c r="B25" t="s">
        <v>656</v>
      </c>
    </row>
    <row r="26" spans="1:2" x14ac:dyDescent="0.35">
      <c r="A26" t="s">
        <v>628</v>
      </c>
      <c r="B26" t="s">
        <v>1463</v>
      </c>
    </row>
    <row r="27" spans="1:2" x14ac:dyDescent="0.35">
      <c r="A27" t="s">
        <v>630</v>
      </c>
      <c r="B27" t="s">
        <v>1464</v>
      </c>
    </row>
    <row r="28" spans="1:2" x14ac:dyDescent="0.35">
      <c r="A28" t="s">
        <v>646</v>
      </c>
      <c r="B28" t="s">
        <v>664</v>
      </c>
    </row>
    <row r="29" spans="1:2" x14ac:dyDescent="0.35">
      <c r="A29" t="s">
        <v>630</v>
      </c>
      <c r="B29" t="s">
        <v>1465</v>
      </c>
    </row>
    <row r="30" spans="1:2" x14ac:dyDescent="0.35">
      <c r="A30" t="s">
        <v>637</v>
      </c>
      <c r="B30" t="s">
        <v>850</v>
      </c>
    </row>
    <row r="31" spans="1:2" x14ac:dyDescent="0.35">
      <c r="A31" t="s">
        <v>637</v>
      </c>
      <c r="B31" t="s">
        <v>1466</v>
      </c>
    </row>
    <row r="32" spans="1:2" x14ac:dyDescent="0.35">
      <c r="A32" t="s">
        <v>637</v>
      </c>
      <c r="B32" t="s">
        <v>674</v>
      </c>
    </row>
    <row r="33" spans="1:2" x14ac:dyDescent="0.35">
      <c r="A33" t="s">
        <v>637</v>
      </c>
      <c r="B33" t="s">
        <v>932</v>
      </c>
    </row>
    <row r="34" spans="1:2" x14ac:dyDescent="0.35">
      <c r="A34" t="s">
        <v>630</v>
      </c>
      <c r="B34" t="s">
        <v>650</v>
      </c>
    </row>
    <row r="35" spans="1:2" x14ac:dyDescent="0.35">
      <c r="A35" t="s">
        <v>637</v>
      </c>
      <c r="B35" t="s">
        <v>1467</v>
      </c>
    </row>
    <row r="36" spans="1:2" x14ac:dyDescent="0.35">
      <c r="A36" t="s">
        <v>637</v>
      </c>
      <c r="B36" t="s">
        <v>1199</v>
      </c>
    </row>
    <row r="37" spans="1:2" x14ac:dyDescent="0.35">
      <c r="A37" t="s">
        <v>632</v>
      </c>
      <c r="B37" t="s">
        <v>1468</v>
      </c>
    </row>
    <row r="38" spans="1:2" x14ac:dyDescent="0.35">
      <c r="A38" t="s">
        <v>637</v>
      </c>
      <c r="B38" t="s">
        <v>1469</v>
      </c>
    </row>
    <row r="39" spans="1:2" x14ac:dyDescent="0.35">
      <c r="A39" t="s">
        <v>637</v>
      </c>
      <c r="B39" t="s">
        <v>1470</v>
      </c>
    </row>
    <row r="40" spans="1:2" x14ac:dyDescent="0.35">
      <c r="A40" t="s">
        <v>630</v>
      </c>
      <c r="B40" t="s">
        <v>1471</v>
      </c>
    </row>
    <row r="41" spans="1:2" x14ac:dyDescent="0.35">
      <c r="A41" t="s">
        <v>630</v>
      </c>
      <c r="B41" t="s">
        <v>1472</v>
      </c>
    </row>
    <row r="42" spans="1:2" x14ac:dyDescent="0.35">
      <c r="A42" t="s">
        <v>630</v>
      </c>
      <c r="B42" t="s">
        <v>1473</v>
      </c>
    </row>
    <row r="43" spans="1:2" x14ac:dyDescent="0.35">
      <c r="A43" t="s">
        <v>630</v>
      </c>
      <c r="B43" t="s">
        <v>1474</v>
      </c>
    </row>
    <row r="44" spans="1:2" x14ac:dyDescent="0.35">
      <c r="A44" t="s">
        <v>628</v>
      </c>
      <c r="B44" t="s">
        <v>1006</v>
      </c>
    </row>
    <row r="45" spans="1:2" x14ac:dyDescent="0.35">
      <c r="A45" t="s">
        <v>628</v>
      </c>
      <c r="B45" t="s">
        <v>756</v>
      </c>
    </row>
    <row r="46" spans="1:2" x14ac:dyDescent="0.35">
      <c r="A46" t="s">
        <v>628</v>
      </c>
      <c r="B46" t="s">
        <v>1475</v>
      </c>
    </row>
    <row r="47" spans="1:2" x14ac:dyDescent="0.35">
      <c r="A47" t="s">
        <v>637</v>
      </c>
      <c r="B47" t="s">
        <v>681</v>
      </c>
    </row>
    <row r="48" spans="1:2" x14ac:dyDescent="0.35">
      <c r="A48" t="s">
        <v>632</v>
      </c>
      <c r="B48" t="s">
        <v>1476</v>
      </c>
    </row>
    <row r="49" spans="1:2" x14ac:dyDescent="0.35">
      <c r="A49" t="s">
        <v>637</v>
      </c>
      <c r="B49" t="s">
        <v>1477</v>
      </c>
    </row>
    <row r="50" spans="1:2" x14ac:dyDescent="0.35">
      <c r="A50" t="s">
        <v>632</v>
      </c>
      <c r="B50" t="s">
        <v>1478</v>
      </c>
    </row>
    <row r="51" spans="1:2" x14ac:dyDescent="0.35">
      <c r="A51" t="s">
        <v>630</v>
      </c>
      <c r="B51" t="s">
        <v>1000</v>
      </c>
    </row>
    <row r="52" spans="1:2" x14ac:dyDescent="0.35">
      <c r="A52" t="s">
        <v>632</v>
      </c>
      <c r="B52" t="s">
        <v>1479</v>
      </c>
    </row>
    <row r="53" spans="1:2" x14ac:dyDescent="0.35">
      <c r="A53" t="s">
        <v>646</v>
      </c>
      <c r="B53" t="s">
        <v>1480</v>
      </c>
    </row>
    <row r="54" spans="1:2" x14ac:dyDescent="0.35">
      <c r="A54" t="s">
        <v>637</v>
      </c>
      <c r="B54" t="s">
        <v>1481</v>
      </c>
    </row>
    <row r="55" spans="1:2" x14ac:dyDescent="0.35">
      <c r="A55" t="s">
        <v>630</v>
      </c>
      <c r="B55" t="s">
        <v>1482</v>
      </c>
    </row>
    <row r="56" spans="1:2" x14ac:dyDescent="0.35">
      <c r="A56" t="s">
        <v>630</v>
      </c>
      <c r="B56" t="s">
        <v>1483</v>
      </c>
    </row>
    <row r="57" spans="1:2" x14ac:dyDescent="0.35">
      <c r="A57" t="s">
        <v>637</v>
      </c>
      <c r="B57" t="s">
        <v>1484</v>
      </c>
    </row>
    <row r="58" spans="1:2" x14ac:dyDescent="0.35">
      <c r="A58" t="s">
        <v>630</v>
      </c>
      <c r="B58" t="s">
        <v>1485</v>
      </c>
    </row>
    <row r="59" spans="1:2" x14ac:dyDescent="0.35">
      <c r="A59" t="s">
        <v>630</v>
      </c>
      <c r="B59" t="s">
        <v>887</v>
      </c>
    </row>
    <row r="60" spans="1:2" x14ac:dyDescent="0.35">
      <c r="A60" t="s">
        <v>630</v>
      </c>
      <c r="B60" t="s">
        <v>1261</v>
      </c>
    </row>
    <row r="61" spans="1:2" x14ac:dyDescent="0.35">
      <c r="A61" t="s">
        <v>637</v>
      </c>
      <c r="B61" t="s">
        <v>711</v>
      </c>
    </row>
    <row r="62" spans="1:2" x14ac:dyDescent="0.35">
      <c r="A62" t="s">
        <v>628</v>
      </c>
      <c r="B62" t="s">
        <v>1263</v>
      </c>
    </row>
    <row r="63" spans="1:2" x14ac:dyDescent="0.35">
      <c r="A63" t="s">
        <v>637</v>
      </c>
      <c r="B63" t="s">
        <v>1470</v>
      </c>
    </row>
    <row r="64" spans="1:2" x14ac:dyDescent="0.35">
      <c r="A64" t="s">
        <v>632</v>
      </c>
      <c r="B64" t="s">
        <v>1486</v>
      </c>
    </row>
    <row r="65" spans="1:2" x14ac:dyDescent="0.35">
      <c r="A65" t="s">
        <v>628</v>
      </c>
      <c r="B65" t="s">
        <v>696</v>
      </c>
    </row>
    <row r="66" spans="1:2" x14ac:dyDescent="0.35">
      <c r="A66" t="s">
        <v>630</v>
      </c>
      <c r="B66" t="s">
        <v>1487</v>
      </c>
    </row>
    <row r="67" spans="1:2" x14ac:dyDescent="0.35">
      <c r="A67" t="s">
        <v>637</v>
      </c>
      <c r="B67" t="s">
        <v>1081</v>
      </c>
    </row>
    <row r="68" spans="1:2" x14ac:dyDescent="0.35">
      <c r="A68" t="s">
        <v>637</v>
      </c>
      <c r="B68" t="s">
        <v>661</v>
      </c>
    </row>
    <row r="69" spans="1:2" x14ac:dyDescent="0.35">
      <c r="A69" t="s">
        <v>630</v>
      </c>
      <c r="B69" t="s">
        <v>1488</v>
      </c>
    </row>
    <row r="70" spans="1:2" x14ac:dyDescent="0.35">
      <c r="A70" t="s">
        <v>628</v>
      </c>
      <c r="B70" t="s">
        <v>702</v>
      </c>
    </row>
    <row r="71" spans="1:2" x14ac:dyDescent="0.35">
      <c r="A71" t="s">
        <v>637</v>
      </c>
      <c r="B71" t="s">
        <v>1489</v>
      </c>
    </row>
    <row r="72" spans="1:2" x14ac:dyDescent="0.35">
      <c r="A72" t="s">
        <v>632</v>
      </c>
      <c r="B72" t="s">
        <v>1490</v>
      </c>
    </row>
    <row r="73" spans="1:2" x14ac:dyDescent="0.35">
      <c r="A73" t="s">
        <v>637</v>
      </c>
      <c r="B73" t="s">
        <v>656</v>
      </c>
    </row>
    <row r="74" spans="1:2" x14ac:dyDescent="0.35">
      <c r="A74" t="s">
        <v>637</v>
      </c>
      <c r="B74" t="s">
        <v>1491</v>
      </c>
    </row>
    <row r="75" spans="1:2" x14ac:dyDescent="0.35">
      <c r="A75" t="s">
        <v>630</v>
      </c>
      <c r="B75" t="s">
        <v>1492</v>
      </c>
    </row>
    <row r="76" spans="1:2" x14ac:dyDescent="0.35">
      <c r="A76" t="s">
        <v>637</v>
      </c>
      <c r="B76" t="s">
        <v>1493</v>
      </c>
    </row>
    <row r="77" spans="1:2" x14ac:dyDescent="0.35">
      <c r="A77" t="s">
        <v>637</v>
      </c>
      <c r="B77" t="s">
        <v>703</v>
      </c>
    </row>
    <row r="78" spans="1:2" x14ac:dyDescent="0.35">
      <c r="A78" t="s">
        <v>632</v>
      </c>
      <c r="B78" t="s">
        <v>1494</v>
      </c>
    </row>
    <row r="79" spans="1:2" x14ac:dyDescent="0.35">
      <c r="A79" t="s">
        <v>630</v>
      </c>
      <c r="B79" t="s">
        <v>920</v>
      </c>
    </row>
    <row r="80" spans="1:2" x14ac:dyDescent="0.35">
      <c r="A80" t="s">
        <v>637</v>
      </c>
      <c r="B80" t="s">
        <v>1310</v>
      </c>
    </row>
    <row r="81" spans="1:2" x14ac:dyDescent="0.35">
      <c r="A81" t="s">
        <v>646</v>
      </c>
      <c r="B81" t="s">
        <v>1495</v>
      </c>
    </row>
    <row r="82" spans="1:2" x14ac:dyDescent="0.35">
      <c r="A82" t="s">
        <v>628</v>
      </c>
      <c r="B82" t="s">
        <v>709</v>
      </c>
    </row>
    <row r="83" spans="1:2" x14ac:dyDescent="0.35">
      <c r="A83" t="s">
        <v>628</v>
      </c>
      <c r="B83" t="s">
        <v>1496</v>
      </c>
    </row>
    <row r="84" spans="1:2" x14ac:dyDescent="0.35">
      <c r="A84" t="s">
        <v>637</v>
      </c>
      <c r="B84" t="s">
        <v>770</v>
      </c>
    </row>
    <row r="85" spans="1:2" x14ac:dyDescent="0.35">
      <c r="A85" t="s">
        <v>637</v>
      </c>
      <c r="B85" t="s">
        <v>711</v>
      </c>
    </row>
    <row r="86" spans="1:2" x14ac:dyDescent="0.35">
      <c r="A86" t="s">
        <v>637</v>
      </c>
      <c r="B86" t="s">
        <v>1497</v>
      </c>
    </row>
    <row r="87" spans="1:2" x14ac:dyDescent="0.35">
      <c r="A87" t="s">
        <v>630</v>
      </c>
      <c r="B87" t="s">
        <v>915</v>
      </c>
    </row>
    <row r="88" spans="1:2" x14ac:dyDescent="0.35">
      <c r="A88" t="s">
        <v>632</v>
      </c>
      <c r="B88" t="s">
        <v>900</v>
      </c>
    </row>
    <row r="89" spans="1:2" x14ac:dyDescent="0.35">
      <c r="A89" t="s">
        <v>628</v>
      </c>
      <c r="B89" t="s">
        <v>847</v>
      </c>
    </row>
    <row r="90" spans="1:2" x14ac:dyDescent="0.35">
      <c r="A90" t="s">
        <v>630</v>
      </c>
      <c r="B90" t="s">
        <v>1498</v>
      </c>
    </row>
    <row r="91" spans="1:2" x14ac:dyDescent="0.35">
      <c r="A91" t="s">
        <v>630</v>
      </c>
      <c r="B91" t="s">
        <v>932</v>
      </c>
    </row>
    <row r="92" spans="1:2" x14ac:dyDescent="0.35">
      <c r="A92" t="s">
        <v>628</v>
      </c>
      <c r="B92" t="s">
        <v>676</v>
      </c>
    </row>
    <row r="93" spans="1:2" x14ac:dyDescent="0.35">
      <c r="A93" t="s">
        <v>630</v>
      </c>
      <c r="B93" t="s">
        <v>1499</v>
      </c>
    </row>
    <row r="94" spans="1:2" x14ac:dyDescent="0.35">
      <c r="A94" t="s">
        <v>637</v>
      </c>
      <c r="B94" t="s">
        <v>1500</v>
      </c>
    </row>
    <row r="95" spans="1:2" x14ac:dyDescent="0.35">
      <c r="A95" t="s">
        <v>637</v>
      </c>
      <c r="B95" t="s">
        <v>932</v>
      </c>
    </row>
    <row r="96" spans="1:2" x14ac:dyDescent="0.35">
      <c r="A96" t="s">
        <v>630</v>
      </c>
      <c r="B96" t="s">
        <v>1501</v>
      </c>
    </row>
    <row r="97" spans="1:2" x14ac:dyDescent="0.35">
      <c r="A97" t="s">
        <v>637</v>
      </c>
      <c r="B97" t="s">
        <v>664</v>
      </c>
    </row>
    <row r="98" spans="1:2" x14ac:dyDescent="0.35">
      <c r="A98" t="s">
        <v>628</v>
      </c>
      <c r="B98" t="s">
        <v>1502</v>
      </c>
    </row>
    <row r="99" spans="1:2" x14ac:dyDescent="0.35">
      <c r="A99" t="s">
        <v>637</v>
      </c>
      <c r="B99" t="s">
        <v>1503</v>
      </c>
    </row>
    <row r="100" spans="1:2" x14ac:dyDescent="0.35">
      <c r="A100" t="s">
        <v>637</v>
      </c>
      <c r="B100" t="s">
        <v>1504</v>
      </c>
    </row>
    <row r="101" spans="1:2" x14ac:dyDescent="0.35">
      <c r="A101" t="s">
        <v>630</v>
      </c>
      <c r="B101" t="s">
        <v>1505</v>
      </c>
    </row>
    <row r="102" spans="1:2" x14ac:dyDescent="0.35">
      <c r="A102" t="s">
        <v>628</v>
      </c>
      <c r="B102" t="s">
        <v>1506</v>
      </c>
    </row>
    <row r="103" spans="1:2" x14ac:dyDescent="0.35">
      <c r="A103" t="s">
        <v>630</v>
      </c>
      <c r="B103" t="s">
        <v>1507</v>
      </c>
    </row>
    <row r="104" spans="1:2" x14ac:dyDescent="0.35">
      <c r="A104" t="s">
        <v>637</v>
      </c>
      <c r="B104" t="s">
        <v>723</v>
      </c>
    </row>
    <row r="105" spans="1:2" x14ac:dyDescent="0.35">
      <c r="A105" t="s">
        <v>637</v>
      </c>
      <c r="B105" t="s">
        <v>726</v>
      </c>
    </row>
    <row r="106" spans="1:2" x14ac:dyDescent="0.35">
      <c r="A106" t="s">
        <v>637</v>
      </c>
      <c r="B106" t="s">
        <v>1508</v>
      </c>
    </row>
    <row r="107" spans="1:2" x14ac:dyDescent="0.35">
      <c r="A107" t="s">
        <v>637</v>
      </c>
      <c r="B107" t="s">
        <v>984</v>
      </c>
    </row>
    <row r="108" spans="1:2" x14ac:dyDescent="0.35">
      <c r="A108" t="s">
        <v>628</v>
      </c>
      <c r="B108" t="s">
        <v>1509</v>
      </c>
    </row>
    <row r="109" spans="1:2" x14ac:dyDescent="0.35">
      <c r="A109" t="s">
        <v>637</v>
      </c>
      <c r="B109" t="s">
        <v>1510</v>
      </c>
    </row>
    <row r="110" spans="1:2" x14ac:dyDescent="0.35">
      <c r="A110" t="s">
        <v>628</v>
      </c>
      <c r="B110" t="s">
        <v>1511</v>
      </c>
    </row>
    <row r="111" spans="1:2" x14ac:dyDescent="0.35">
      <c r="A111" t="s">
        <v>637</v>
      </c>
      <c r="B111" t="s">
        <v>1093</v>
      </c>
    </row>
    <row r="112" spans="1:2" x14ac:dyDescent="0.35">
      <c r="A112" t="s">
        <v>630</v>
      </c>
      <c r="B112" t="s">
        <v>1512</v>
      </c>
    </row>
    <row r="113" spans="1:2" x14ac:dyDescent="0.35">
      <c r="A113" t="s">
        <v>630</v>
      </c>
      <c r="B113" t="s">
        <v>1513</v>
      </c>
    </row>
    <row r="114" spans="1:2" x14ac:dyDescent="0.35">
      <c r="A114" t="s">
        <v>637</v>
      </c>
      <c r="B114" t="s">
        <v>1514</v>
      </c>
    </row>
    <row r="115" spans="1:2" x14ac:dyDescent="0.35">
      <c r="A115" t="s">
        <v>637</v>
      </c>
      <c r="B115" t="s">
        <v>1515</v>
      </c>
    </row>
    <row r="116" spans="1:2" x14ac:dyDescent="0.35">
      <c r="A116" t="s">
        <v>630</v>
      </c>
      <c r="B116" t="s">
        <v>1516</v>
      </c>
    </row>
    <row r="117" spans="1:2" x14ac:dyDescent="0.35">
      <c r="A117" t="s">
        <v>637</v>
      </c>
      <c r="B117" t="s">
        <v>670</v>
      </c>
    </row>
    <row r="118" spans="1:2" x14ac:dyDescent="0.35">
      <c r="A118" t="s">
        <v>630</v>
      </c>
      <c r="B118" t="s">
        <v>1517</v>
      </c>
    </row>
    <row r="119" spans="1:2" x14ac:dyDescent="0.35">
      <c r="A119" t="s">
        <v>630</v>
      </c>
      <c r="B119" t="s">
        <v>1000</v>
      </c>
    </row>
    <row r="120" spans="1:2" x14ac:dyDescent="0.35">
      <c r="A120" t="s">
        <v>637</v>
      </c>
      <c r="B120" t="s">
        <v>738</v>
      </c>
    </row>
    <row r="121" spans="1:2" x14ac:dyDescent="0.35">
      <c r="A121" t="s">
        <v>630</v>
      </c>
      <c r="B121" t="s">
        <v>1518</v>
      </c>
    </row>
    <row r="122" spans="1:2" x14ac:dyDescent="0.35">
      <c r="A122" t="s">
        <v>646</v>
      </c>
      <c r="B122" t="s">
        <v>1519</v>
      </c>
    </row>
    <row r="123" spans="1:2" x14ac:dyDescent="0.35">
      <c r="A123" t="s">
        <v>637</v>
      </c>
      <c r="B123" t="s">
        <v>1520</v>
      </c>
    </row>
    <row r="124" spans="1:2" x14ac:dyDescent="0.35">
      <c r="A124" t="s">
        <v>628</v>
      </c>
      <c r="B124" t="s">
        <v>1521</v>
      </c>
    </row>
    <row r="125" spans="1:2" x14ac:dyDescent="0.35">
      <c r="A125" t="s">
        <v>628</v>
      </c>
      <c r="B125" t="s">
        <v>756</v>
      </c>
    </row>
    <row r="126" spans="1:2" x14ac:dyDescent="0.35">
      <c r="A126" t="s">
        <v>637</v>
      </c>
      <c r="B126" t="s">
        <v>742</v>
      </c>
    </row>
    <row r="127" spans="1:2" x14ac:dyDescent="0.35">
      <c r="A127" t="s">
        <v>637</v>
      </c>
      <c r="B127" t="s">
        <v>1522</v>
      </c>
    </row>
    <row r="128" spans="1:2" x14ac:dyDescent="0.35">
      <c r="A128" t="s">
        <v>628</v>
      </c>
      <c r="B128" t="s">
        <v>1523</v>
      </c>
    </row>
    <row r="129" spans="1:2" x14ac:dyDescent="0.35">
      <c r="A129" t="s">
        <v>637</v>
      </c>
      <c r="B129" t="s">
        <v>1524</v>
      </c>
    </row>
    <row r="130" spans="1:2" x14ac:dyDescent="0.35">
      <c r="A130" t="s">
        <v>630</v>
      </c>
      <c r="B130" t="s">
        <v>1525</v>
      </c>
    </row>
    <row r="131" spans="1:2" x14ac:dyDescent="0.35">
      <c r="A131" t="s">
        <v>630</v>
      </c>
      <c r="B131" t="s">
        <v>1526</v>
      </c>
    </row>
    <row r="132" spans="1:2" x14ac:dyDescent="0.35">
      <c r="A132" t="s">
        <v>637</v>
      </c>
      <c r="B132" t="s">
        <v>1527</v>
      </c>
    </row>
    <row r="133" spans="1:2" x14ac:dyDescent="0.35">
      <c r="A133" t="s">
        <v>628</v>
      </c>
      <c r="B133" t="s">
        <v>1528</v>
      </c>
    </row>
    <row r="134" spans="1:2" x14ac:dyDescent="0.35">
      <c r="A134" t="s">
        <v>630</v>
      </c>
      <c r="B134" t="s">
        <v>1529</v>
      </c>
    </row>
    <row r="135" spans="1:2" x14ac:dyDescent="0.35">
      <c r="A135" t="s">
        <v>637</v>
      </c>
      <c r="B135" t="s">
        <v>1530</v>
      </c>
    </row>
    <row r="136" spans="1:2" x14ac:dyDescent="0.35">
      <c r="A136" t="s">
        <v>630</v>
      </c>
      <c r="B136" t="s">
        <v>1531</v>
      </c>
    </row>
    <row r="137" spans="1:2" x14ac:dyDescent="0.35">
      <c r="A137" t="s">
        <v>637</v>
      </c>
      <c r="B137" t="s">
        <v>711</v>
      </c>
    </row>
    <row r="138" spans="1:2" x14ac:dyDescent="0.35">
      <c r="A138" t="s">
        <v>632</v>
      </c>
      <c r="B138" t="s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Tabulka_vysvětlení</vt:lpstr>
      <vt:lpstr>Tabulka</vt:lpstr>
      <vt:lpstr>salience</vt:lpstr>
      <vt:lpstr>telly_emo</vt:lpstr>
      <vt:lpstr>skylink_emo</vt:lpstr>
      <vt:lpstr>sledovanitv_emo</vt:lpstr>
      <vt:lpstr>o2tv_emo</vt:lpstr>
      <vt:lpstr>lepsitv_emo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Schovánek</dc:creator>
  <cp:lastModifiedBy>David Schovánek</cp:lastModifiedBy>
  <dcterms:created xsi:type="dcterms:W3CDTF">2024-06-19T12:59:15Z</dcterms:created>
  <dcterms:modified xsi:type="dcterms:W3CDTF">2024-06-19T13:26:35Z</dcterms:modified>
</cp:coreProperties>
</file>