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yštof Rybáček\Downloads\"/>
    </mc:Choice>
  </mc:AlternateContent>
  <xr:revisionPtr revIDLastSave="0" documentId="13_ncr:1_{BB2A2453-D153-4660-A498-CC6173028A6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sume" sheetId="12" r:id="rId1"/>
    <sheet name="Legenda" sheetId="11" r:id="rId2"/>
    <sheet name="Tabulka" sheetId="1" r:id="rId3"/>
    <sheet name="proch_brand" sheetId="2" r:id="rId4"/>
    <sheet name="proch_emo" sheetId="3" r:id="rId5"/>
    <sheet name="istenik_brand" sheetId="4" r:id="rId6"/>
    <sheet name="istenik_emo" sheetId="5" r:id="rId7"/>
    <sheet name="cech_brand" sheetId="6" r:id="rId8"/>
    <sheet name="cech_emo" sheetId="7" r:id="rId9"/>
    <sheet name="ztrac_brand" sheetId="8" r:id="rId10"/>
    <sheet name="ztrac_emo" sheetId="9" r:id="rId11"/>
    <sheet name="slogan_emo" sheetId="10" r:id="rId12"/>
  </sheets>
  <definedNames>
    <definedName name="_xlnm._FilterDatabase" localSheetId="0" hidden="1">Resume!$A$5:$AC$10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0" l="1"/>
  <c r="A1" i="9"/>
  <c r="A1" i="8"/>
  <c r="A1" i="7"/>
  <c r="A1" i="6"/>
  <c r="A1" i="5"/>
  <c r="A1" i="4"/>
  <c r="A1" i="3"/>
  <c r="A1" i="2"/>
  <c r="CN370" i="1"/>
  <c r="CM370" i="1"/>
  <c r="CJ370" i="1"/>
  <c r="CI370" i="1"/>
  <c r="CF370" i="1"/>
  <c r="CE370" i="1"/>
  <c r="CB370" i="1"/>
  <c r="CA370" i="1"/>
  <c r="BX370" i="1"/>
  <c r="BW370" i="1"/>
  <c r="BT370" i="1"/>
  <c r="BS370" i="1"/>
  <c r="BP370" i="1"/>
  <c r="BO370" i="1"/>
  <c r="BL370" i="1"/>
  <c r="BK370" i="1"/>
  <c r="BH370" i="1"/>
  <c r="BG370" i="1"/>
  <c r="BD370" i="1"/>
  <c r="BC370" i="1"/>
  <c r="AZ370" i="1"/>
  <c r="AY370" i="1"/>
  <c r="AV370" i="1"/>
  <c r="AU370" i="1"/>
  <c r="AR370" i="1"/>
  <c r="AQ370" i="1"/>
  <c r="AN370" i="1"/>
  <c r="AM370" i="1"/>
  <c r="AJ370" i="1"/>
  <c r="AI370" i="1"/>
  <c r="AF370" i="1"/>
  <c r="AE370" i="1"/>
  <c r="AB370" i="1"/>
  <c r="AA370" i="1"/>
  <c r="X370" i="1"/>
  <c r="W370" i="1"/>
  <c r="T370" i="1"/>
  <c r="S370" i="1"/>
  <c r="P370" i="1"/>
  <c r="O370" i="1"/>
  <c r="L370" i="1"/>
  <c r="K370" i="1"/>
  <c r="H370" i="1"/>
  <c r="G370" i="1"/>
  <c r="D370" i="1"/>
  <c r="C370" i="1"/>
  <c r="CN369" i="1"/>
  <c r="CM369" i="1"/>
  <c r="CJ369" i="1"/>
  <c r="CI369" i="1"/>
  <c r="CF369" i="1"/>
  <c r="CE369" i="1"/>
  <c r="CB369" i="1"/>
  <c r="CA369" i="1"/>
  <c r="BX369" i="1"/>
  <c r="BW369" i="1"/>
  <c r="BT369" i="1"/>
  <c r="BS369" i="1"/>
  <c r="BP369" i="1"/>
  <c r="BO369" i="1"/>
  <c r="BL369" i="1"/>
  <c r="BK369" i="1"/>
  <c r="BH369" i="1"/>
  <c r="BG369" i="1"/>
  <c r="BD369" i="1"/>
  <c r="BC369" i="1"/>
  <c r="AZ369" i="1"/>
  <c r="AY369" i="1"/>
  <c r="AV369" i="1"/>
  <c r="AU369" i="1"/>
  <c r="AR369" i="1"/>
  <c r="AQ369" i="1"/>
  <c r="AN369" i="1"/>
  <c r="AM369" i="1"/>
  <c r="AJ369" i="1"/>
  <c r="AI369" i="1"/>
  <c r="AF369" i="1"/>
  <c r="AE369" i="1"/>
  <c r="AB369" i="1"/>
  <c r="AA369" i="1"/>
  <c r="X369" i="1"/>
  <c r="W369" i="1"/>
  <c r="T369" i="1"/>
  <c r="S369" i="1"/>
  <c r="P369" i="1"/>
  <c r="O369" i="1"/>
  <c r="L369" i="1"/>
  <c r="K369" i="1"/>
  <c r="H369" i="1"/>
  <c r="G369" i="1"/>
  <c r="D369" i="1"/>
  <c r="C369" i="1"/>
  <c r="CN368" i="1"/>
  <c r="CM368" i="1"/>
  <c r="CJ368" i="1"/>
  <c r="CI368" i="1"/>
  <c r="CF368" i="1"/>
  <c r="CE368" i="1"/>
  <c r="CB368" i="1"/>
  <c r="CA368" i="1"/>
  <c r="BX368" i="1"/>
  <c r="BW368" i="1"/>
  <c r="BT368" i="1"/>
  <c r="BS368" i="1"/>
  <c r="BP368" i="1"/>
  <c r="BO368" i="1"/>
  <c r="BL368" i="1"/>
  <c r="BK368" i="1"/>
  <c r="BH368" i="1"/>
  <c r="BG368" i="1"/>
  <c r="BD368" i="1"/>
  <c r="BC368" i="1"/>
  <c r="AZ368" i="1"/>
  <c r="AY368" i="1"/>
  <c r="AV368" i="1"/>
  <c r="AU368" i="1"/>
  <c r="AR368" i="1"/>
  <c r="AQ368" i="1"/>
  <c r="AN368" i="1"/>
  <c r="AM368" i="1"/>
  <c r="AJ368" i="1"/>
  <c r="AI368" i="1"/>
  <c r="AF368" i="1"/>
  <c r="AE368" i="1"/>
  <c r="AB368" i="1"/>
  <c r="AA368" i="1"/>
  <c r="X368" i="1"/>
  <c r="W368" i="1"/>
  <c r="T368" i="1"/>
  <c r="S368" i="1"/>
  <c r="P368" i="1"/>
  <c r="O368" i="1"/>
  <c r="L368" i="1"/>
  <c r="K368" i="1"/>
  <c r="H368" i="1"/>
  <c r="G368" i="1"/>
  <c r="D368" i="1"/>
  <c r="C368" i="1"/>
  <c r="CN367" i="1"/>
  <c r="CM367" i="1"/>
  <c r="CJ367" i="1"/>
  <c r="CI367" i="1"/>
  <c r="CF367" i="1"/>
  <c r="CE367" i="1"/>
  <c r="CB367" i="1"/>
  <c r="CA367" i="1"/>
  <c r="BX367" i="1"/>
  <c r="BW367" i="1"/>
  <c r="BT367" i="1"/>
  <c r="BS367" i="1"/>
  <c r="BP367" i="1"/>
  <c r="BO367" i="1"/>
  <c r="BL367" i="1"/>
  <c r="BK367" i="1"/>
  <c r="BH367" i="1"/>
  <c r="BG367" i="1"/>
  <c r="BD367" i="1"/>
  <c r="BC367" i="1"/>
  <c r="AZ367" i="1"/>
  <c r="AY367" i="1"/>
  <c r="AV367" i="1"/>
  <c r="AU367" i="1"/>
  <c r="AR367" i="1"/>
  <c r="AQ367" i="1"/>
  <c r="AN367" i="1"/>
  <c r="AM367" i="1"/>
  <c r="AJ367" i="1"/>
  <c r="AI367" i="1"/>
  <c r="AF367" i="1"/>
  <c r="AE367" i="1"/>
  <c r="AB367" i="1"/>
  <c r="AA367" i="1"/>
  <c r="X367" i="1"/>
  <c r="W367" i="1"/>
  <c r="T367" i="1"/>
  <c r="S367" i="1"/>
  <c r="P367" i="1"/>
  <c r="O367" i="1"/>
  <c r="L367" i="1"/>
  <c r="K367" i="1"/>
  <c r="H367" i="1"/>
  <c r="G367" i="1"/>
  <c r="D367" i="1"/>
  <c r="C367" i="1"/>
  <c r="CN366" i="1"/>
  <c r="CM366" i="1"/>
  <c r="CJ366" i="1"/>
  <c r="CI366" i="1"/>
  <c r="CF366" i="1"/>
  <c r="CE366" i="1"/>
  <c r="CB366" i="1"/>
  <c r="CA366" i="1"/>
  <c r="BX366" i="1"/>
  <c r="BW366" i="1"/>
  <c r="BT366" i="1"/>
  <c r="BS366" i="1"/>
  <c r="BP366" i="1"/>
  <c r="BO366" i="1"/>
  <c r="BL366" i="1"/>
  <c r="BK366" i="1"/>
  <c r="BH366" i="1"/>
  <c r="BG366" i="1"/>
  <c r="BD366" i="1"/>
  <c r="BC366" i="1"/>
  <c r="AZ366" i="1"/>
  <c r="AY366" i="1"/>
  <c r="AV366" i="1"/>
  <c r="AU366" i="1"/>
  <c r="AR366" i="1"/>
  <c r="AQ366" i="1"/>
  <c r="AN366" i="1"/>
  <c r="AM366" i="1"/>
  <c r="AJ366" i="1"/>
  <c r="AI366" i="1"/>
  <c r="AF366" i="1"/>
  <c r="AE366" i="1"/>
  <c r="AB366" i="1"/>
  <c r="AA366" i="1"/>
  <c r="X366" i="1"/>
  <c r="W366" i="1"/>
  <c r="T366" i="1"/>
  <c r="S366" i="1"/>
  <c r="P366" i="1"/>
  <c r="O366" i="1"/>
  <c r="L366" i="1"/>
  <c r="K366" i="1"/>
  <c r="H366" i="1"/>
  <c r="G366" i="1"/>
  <c r="D366" i="1"/>
  <c r="C366" i="1"/>
  <c r="CN365" i="1"/>
  <c r="CM365" i="1"/>
  <c r="CJ365" i="1"/>
  <c r="CI365" i="1"/>
  <c r="CF365" i="1"/>
  <c r="CE365" i="1"/>
  <c r="CB365" i="1"/>
  <c r="CA365" i="1"/>
  <c r="BX365" i="1"/>
  <c r="BW365" i="1"/>
  <c r="BT365" i="1"/>
  <c r="BS365" i="1"/>
  <c r="BP365" i="1"/>
  <c r="BO365" i="1"/>
  <c r="BL365" i="1"/>
  <c r="BK365" i="1"/>
  <c r="BH365" i="1"/>
  <c r="BG365" i="1"/>
  <c r="BD365" i="1"/>
  <c r="BC365" i="1"/>
  <c r="AZ365" i="1"/>
  <c r="AY365" i="1"/>
  <c r="AV365" i="1"/>
  <c r="AU365" i="1"/>
  <c r="AR365" i="1"/>
  <c r="AQ365" i="1"/>
  <c r="AN365" i="1"/>
  <c r="AM365" i="1"/>
  <c r="AJ365" i="1"/>
  <c r="AI365" i="1"/>
  <c r="AF365" i="1"/>
  <c r="AE365" i="1"/>
  <c r="AB365" i="1"/>
  <c r="AA365" i="1"/>
  <c r="X365" i="1"/>
  <c r="W365" i="1"/>
  <c r="T365" i="1"/>
  <c r="S365" i="1"/>
  <c r="P365" i="1"/>
  <c r="O365" i="1"/>
  <c r="L365" i="1"/>
  <c r="K365" i="1"/>
  <c r="H365" i="1"/>
  <c r="G365" i="1"/>
  <c r="D365" i="1"/>
  <c r="C365" i="1"/>
  <c r="CN364" i="1"/>
  <c r="CM364" i="1"/>
  <c r="CJ364" i="1"/>
  <c r="CI364" i="1"/>
  <c r="CF364" i="1"/>
  <c r="CE364" i="1"/>
  <c r="CB364" i="1"/>
  <c r="CA364" i="1"/>
  <c r="BX364" i="1"/>
  <c r="BW364" i="1"/>
  <c r="BT364" i="1"/>
  <c r="BS364" i="1"/>
  <c r="BP364" i="1"/>
  <c r="BO364" i="1"/>
  <c r="BL364" i="1"/>
  <c r="BK364" i="1"/>
  <c r="BH364" i="1"/>
  <c r="BG364" i="1"/>
  <c r="BD364" i="1"/>
  <c r="BC364" i="1"/>
  <c r="AZ364" i="1"/>
  <c r="AY364" i="1"/>
  <c r="AV364" i="1"/>
  <c r="AU364" i="1"/>
  <c r="AR364" i="1"/>
  <c r="AQ364" i="1"/>
  <c r="AN364" i="1"/>
  <c r="AM364" i="1"/>
  <c r="AJ364" i="1"/>
  <c r="AI364" i="1"/>
  <c r="AF364" i="1"/>
  <c r="AE364" i="1"/>
  <c r="AB364" i="1"/>
  <c r="AA364" i="1"/>
  <c r="X364" i="1"/>
  <c r="W364" i="1"/>
  <c r="T364" i="1"/>
  <c r="S364" i="1"/>
  <c r="P364" i="1"/>
  <c r="O364" i="1"/>
  <c r="L364" i="1"/>
  <c r="K364" i="1"/>
  <c r="H364" i="1"/>
  <c r="G364" i="1"/>
  <c r="D364" i="1"/>
  <c r="C364" i="1"/>
  <c r="CN363" i="1"/>
  <c r="CM363" i="1"/>
  <c r="CJ363" i="1"/>
  <c r="CI363" i="1"/>
  <c r="CF363" i="1"/>
  <c r="CE363" i="1"/>
  <c r="CB363" i="1"/>
  <c r="CA363" i="1"/>
  <c r="BX363" i="1"/>
  <c r="BW363" i="1"/>
  <c r="BT363" i="1"/>
  <c r="BS363" i="1"/>
  <c r="BP363" i="1"/>
  <c r="BO363" i="1"/>
  <c r="BL363" i="1"/>
  <c r="BK363" i="1"/>
  <c r="BH363" i="1"/>
  <c r="BG363" i="1"/>
  <c r="BD363" i="1"/>
  <c r="BC363" i="1"/>
  <c r="AZ363" i="1"/>
  <c r="AY363" i="1"/>
  <c r="AV363" i="1"/>
  <c r="AU363" i="1"/>
  <c r="AR363" i="1"/>
  <c r="AQ363" i="1"/>
  <c r="AN363" i="1"/>
  <c r="AM363" i="1"/>
  <c r="AJ363" i="1"/>
  <c r="AI363" i="1"/>
  <c r="AF363" i="1"/>
  <c r="AE363" i="1"/>
  <c r="AB363" i="1"/>
  <c r="AA363" i="1"/>
  <c r="X363" i="1"/>
  <c r="W363" i="1"/>
  <c r="T363" i="1"/>
  <c r="S363" i="1"/>
  <c r="P363" i="1"/>
  <c r="O363" i="1"/>
  <c r="L363" i="1"/>
  <c r="K363" i="1"/>
  <c r="H363" i="1"/>
  <c r="G363" i="1"/>
  <c r="D363" i="1"/>
  <c r="C363" i="1"/>
  <c r="CN362" i="1"/>
  <c r="CM362" i="1"/>
  <c r="CJ362" i="1"/>
  <c r="CI362" i="1"/>
  <c r="CF362" i="1"/>
  <c r="CE362" i="1"/>
  <c r="CB362" i="1"/>
  <c r="CA362" i="1"/>
  <c r="BX362" i="1"/>
  <c r="BW362" i="1"/>
  <c r="BT362" i="1"/>
  <c r="BS362" i="1"/>
  <c r="BP362" i="1"/>
  <c r="BO362" i="1"/>
  <c r="BL362" i="1"/>
  <c r="BK362" i="1"/>
  <c r="BH362" i="1"/>
  <c r="BG362" i="1"/>
  <c r="BD362" i="1"/>
  <c r="BC362" i="1"/>
  <c r="AZ362" i="1"/>
  <c r="AY362" i="1"/>
  <c r="AV362" i="1"/>
  <c r="AU362" i="1"/>
  <c r="AR362" i="1"/>
  <c r="AQ362" i="1"/>
  <c r="AN362" i="1"/>
  <c r="AM362" i="1"/>
  <c r="AJ362" i="1"/>
  <c r="AI362" i="1"/>
  <c r="AF362" i="1"/>
  <c r="AE362" i="1"/>
  <c r="AB362" i="1"/>
  <c r="AA362" i="1"/>
  <c r="X362" i="1"/>
  <c r="W362" i="1"/>
  <c r="T362" i="1"/>
  <c r="S362" i="1"/>
  <c r="P362" i="1"/>
  <c r="O362" i="1"/>
  <c r="L362" i="1"/>
  <c r="K362" i="1"/>
  <c r="H362" i="1"/>
  <c r="G362" i="1"/>
  <c r="D362" i="1"/>
  <c r="C362" i="1"/>
  <c r="CN361" i="1"/>
  <c r="CM361" i="1"/>
  <c r="CJ361" i="1"/>
  <c r="CI361" i="1"/>
  <c r="CF361" i="1"/>
  <c r="CE361" i="1"/>
  <c r="CB361" i="1"/>
  <c r="CA361" i="1"/>
  <c r="BX361" i="1"/>
  <c r="BW361" i="1"/>
  <c r="BT361" i="1"/>
  <c r="BS361" i="1"/>
  <c r="BP361" i="1"/>
  <c r="BO361" i="1"/>
  <c r="BL361" i="1"/>
  <c r="BK361" i="1"/>
  <c r="BH361" i="1"/>
  <c r="BG361" i="1"/>
  <c r="BD361" i="1"/>
  <c r="BC361" i="1"/>
  <c r="AZ361" i="1"/>
  <c r="AY361" i="1"/>
  <c r="AV361" i="1"/>
  <c r="AU361" i="1"/>
  <c r="AR361" i="1"/>
  <c r="AQ361" i="1"/>
  <c r="AN361" i="1"/>
  <c r="AM361" i="1"/>
  <c r="AJ361" i="1"/>
  <c r="AI361" i="1"/>
  <c r="AF361" i="1"/>
  <c r="AE361" i="1"/>
  <c r="AB361" i="1"/>
  <c r="AA361" i="1"/>
  <c r="X361" i="1"/>
  <c r="W361" i="1"/>
  <c r="T361" i="1"/>
  <c r="S361" i="1"/>
  <c r="P361" i="1"/>
  <c r="O361" i="1"/>
  <c r="L361" i="1"/>
  <c r="K361" i="1"/>
  <c r="H361" i="1"/>
  <c r="G361" i="1"/>
  <c r="D361" i="1"/>
  <c r="C361" i="1"/>
  <c r="CN360" i="1"/>
  <c r="CM360" i="1"/>
  <c r="CJ360" i="1"/>
  <c r="CI360" i="1"/>
  <c r="CF360" i="1"/>
  <c r="CE360" i="1"/>
  <c r="CB360" i="1"/>
  <c r="CA360" i="1"/>
  <c r="BX360" i="1"/>
  <c r="BW360" i="1"/>
  <c r="BT360" i="1"/>
  <c r="BS360" i="1"/>
  <c r="BP360" i="1"/>
  <c r="BO360" i="1"/>
  <c r="BL360" i="1"/>
  <c r="BK360" i="1"/>
  <c r="BH360" i="1"/>
  <c r="BG360" i="1"/>
  <c r="BD360" i="1"/>
  <c r="BC360" i="1"/>
  <c r="AZ360" i="1"/>
  <c r="AY360" i="1"/>
  <c r="AV360" i="1"/>
  <c r="AU360" i="1"/>
  <c r="AR360" i="1"/>
  <c r="AQ360" i="1"/>
  <c r="AN360" i="1"/>
  <c r="AM360" i="1"/>
  <c r="AJ360" i="1"/>
  <c r="AI360" i="1"/>
  <c r="AF360" i="1"/>
  <c r="AE360" i="1"/>
  <c r="AB360" i="1"/>
  <c r="AA360" i="1"/>
  <c r="X360" i="1"/>
  <c r="W360" i="1"/>
  <c r="T360" i="1"/>
  <c r="S360" i="1"/>
  <c r="P360" i="1"/>
  <c r="O360" i="1"/>
  <c r="L360" i="1"/>
  <c r="K360" i="1"/>
  <c r="H360" i="1"/>
  <c r="G360" i="1"/>
  <c r="D360" i="1"/>
  <c r="C360" i="1"/>
  <c r="CN359" i="1"/>
  <c r="CM359" i="1"/>
  <c r="CJ359" i="1"/>
  <c r="CI359" i="1"/>
  <c r="CF359" i="1"/>
  <c r="CE359" i="1"/>
  <c r="CB359" i="1"/>
  <c r="CA359" i="1"/>
  <c r="BX359" i="1"/>
  <c r="BW359" i="1"/>
  <c r="BT359" i="1"/>
  <c r="BS359" i="1"/>
  <c r="BP359" i="1"/>
  <c r="BO359" i="1"/>
  <c r="BL359" i="1"/>
  <c r="BK359" i="1"/>
  <c r="BH359" i="1"/>
  <c r="BG359" i="1"/>
  <c r="BD359" i="1"/>
  <c r="BC359" i="1"/>
  <c r="AZ359" i="1"/>
  <c r="AY359" i="1"/>
  <c r="AV359" i="1"/>
  <c r="AU359" i="1"/>
  <c r="AR359" i="1"/>
  <c r="AQ359" i="1"/>
  <c r="AN359" i="1"/>
  <c r="AM359" i="1"/>
  <c r="AJ359" i="1"/>
  <c r="AI359" i="1"/>
  <c r="AF359" i="1"/>
  <c r="AE359" i="1"/>
  <c r="AB359" i="1"/>
  <c r="AA359" i="1"/>
  <c r="X359" i="1"/>
  <c r="W359" i="1"/>
  <c r="T359" i="1"/>
  <c r="S359" i="1"/>
  <c r="P359" i="1"/>
  <c r="O359" i="1"/>
  <c r="L359" i="1"/>
  <c r="K359" i="1"/>
  <c r="H359" i="1"/>
  <c r="G359" i="1"/>
  <c r="D359" i="1"/>
  <c r="C359" i="1"/>
  <c r="CN358" i="1"/>
  <c r="CM358" i="1"/>
  <c r="CJ358" i="1"/>
  <c r="CI358" i="1"/>
  <c r="CF358" i="1"/>
  <c r="CE358" i="1"/>
  <c r="CB358" i="1"/>
  <c r="CA358" i="1"/>
  <c r="BX358" i="1"/>
  <c r="BW358" i="1"/>
  <c r="BT358" i="1"/>
  <c r="BS358" i="1"/>
  <c r="BP358" i="1"/>
  <c r="BO358" i="1"/>
  <c r="BL358" i="1"/>
  <c r="BK358" i="1"/>
  <c r="BH358" i="1"/>
  <c r="BG358" i="1"/>
  <c r="BD358" i="1"/>
  <c r="BC358" i="1"/>
  <c r="AZ358" i="1"/>
  <c r="AY358" i="1"/>
  <c r="AV358" i="1"/>
  <c r="AU358" i="1"/>
  <c r="AR358" i="1"/>
  <c r="AQ358" i="1"/>
  <c r="AN358" i="1"/>
  <c r="AM358" i="1"/>
  <c r="AJ358" i="1"/>
  <c r="AI358" i="1"/>
  <c r="AF358" i="1"/>
  <c r="AE358" i="1"/>
  <c r="AB358" i="1"/>
  <c r="AA358" i="1"/>
  <c r="X358" i="1"/>
  <c r="W358" i="1"/>
  <c r="T358" i="1"/>
  <c r="S358" i="1"/>
  <c r="P358" i="1"/>
  <c r="O358" i="1"/>
  <c r="L358" i="1"/>
  <c r="K358" i="1"/>
  <c r="H358" i="1"/>
  <c r="G358" i="1"/>
  <c r="D358" i="1"/>
  <c r="C358" i="1"/>
  <c r="CN357" i="1"/>
  <c r="CM357" i="1"/>
  <c r="CJ357" i="1"/>
  <c r="CI357" i="1"/>
  <c r="CF357" i="1"/>
  <c r="CE357" i="1"/>
  <c r="CB357" i="1"/>
  <c r="CA357" i="1"/>
  <c r="BX357" i="1"/>
  <c r="BW357" i="1"/>
  <c r="BT357" i="1"/>
  <c r="BS357" i="1"/>
  <c r="BP357" i="1"/>
  <c r="BO357" i="1"/>
  <c r="BL357" i="1"/>
  <c r="BK357" i="1"/>
  <c r="BH357" i="1"/>
  <c r="BG357" i="1"/>
  <c r="BD357" i="1"/>
  <c r="BC357" i="1"/>
  <c r="AZ357" i="1"/>
  <c r="AY357" i="1"/>
  <c r="AV357" i="1"/>
  <c r="AU357" i="1"/>
  <c r="AR357" i="1"/>
  <c r="AQ357" i="1"/>
  <c r="AN357" i="1"/>
  <c r="AM357" i="1"/>
  <c r="AJ357" i="1"/>
  <c r="AI357" i="1"/>
  <c r="AF357" i="1"/>
  <c r="AE357" i="1"/>
  <c r="AB357" i="1"/>
  <c r="AA357" i="1"/>
  <c r="X357" i="1"/>
  <c r="W357" i="1"/>
  <c r="T357" i="1"/>
  <c r="S357" i="1"/>
  <c r="P357" i="1"/>
  <c r="O357" i="1"/>
  <c r="L357" i="1"/>
  <c r="K357" i="1"/>
  <c r="H357" i="1"/>
  <c r="G357" i="1"/>
  <c r="D357" i="1"/>
  <c r="C357" i="1"/>
  <c r="CN356" i="1"/>
  <c r="CM356" i="1"/>
  <c r="CJ356" i="1"/>
  <c r="CI356" i="1"/>
  <c r="CF356" i="1"/>
  <c r="CE356" i="1"/>
  <c r="CB356" i="1"/>
  <c r="CA356" i="1"/>
  <c r="BX356" i="1"/>
  <c r="BW356" i="1"/>
  <c r="BT356" i="1"/>
  <c r="BS356" i="1"/>
  <c r="BP356" i="1"/>
  <c r="BO356" i="1"/>
  <c r="BL356" i="1"/>
  <c r="BK356" i="1"/>
  <c r="BH356" i="1"/>
  <c r="BG356" i="1"/>
  <c r="BD356" i="1"/>
  <c r="BC356" i="1"/>
  <c r="AZ356" i="1"/>
  <c r="AY356" i="1"/>
  <c r="AV356" i="1"/>
  <c r="AU356" i="1"/>
  <c r="AR356" i="1"/>
  <c r="AQ356" i="1"/>
  <c r="AN356" i="1"/>
  <c r="AM356" i="1"/>
  <c r="AJ356" i="1"/>
  <c r="AI356" i="1"/>
  <c r="AF356" i="1"/>
  <c r="AE356" i="1"/>
  <c r="AB356" i="1"/>
  <c r="AA356" i="1"/>
  <c r="X356" i="1"/>
  <c r="W356" i="1"/>
  <c r="T356" i="1"/>
  <c r="S356" i="1"/>
  <c r="P356" i="1"/>
  <c r="O356" i="1"/>
  <c r="L356" i="1"/>
  <c r="K356" i="1"/>
  <c r="H356" i="1"/>
  <c r="G356" i="1"/>
  <c r="D356" i="1"/>
  <c r="C356" i="1"/>
  <c r="CN355" i="1"/>
  <c r="CM355" i="1"/>
  <c r="CJ355" i="1"/>
  <c r="CI355" i="1"/>
  <c r="CF355" i="1"/>
  <c r="CE355" i="1"/>
  <c r="CB355" i="1"/>
  <c r="CA355" i="1"/>
  <c r="BX355" i="1"/>
  <c r="BW355" i="1"/>
  <c r="BT355" i="1"/>
  <c r="BS355" i="1"/>
  <c r="BP355" i="1"/>
  <c r="BO355" i="1"/>
  <c r="BL355" i="1"/>
  <c r="BK355" i="1"/>
  <c r="BH355" i="1"/>
  <c r="BG355" i="1"/>
  <c r="BD355" i="1"/>
  <c r="BC355" i="1"/>
  <c r="AZ355" i="1"/>
  <c r="AY355" i="1"/>
  <c r="AV355" i="1"/>
  <c r="AU355" i="1"/>
  <c r="AR355" i="1"/>
  <c r="AQ355" i="1"/>
  <c r="AN355" i="1"/>
  <c r="AM355" i="1"/>
  <c r="AJ355" i="1"/>
  <c r="AI355" i="1"/>
  <c r="AF355" i="1"/>
  <c r="AE355" i="1"/>
  <c r="AB355" i="1"/>
  <c r="AA355" i="1"/>
  <c r="X355" i="1"/>
  <c r="W355" i="1"/>
  <c r="T355" i="1"/>
  <c r="S355" i="1"/>
  <c r="P355" i="1"/>
  <c r="O355" i="1"/>
  <c r="L355" i="1"/>
  <c r="K355" i="1"/>
  <c r="H355" i="1"/>
  <c r="G355" i="1"/>
  <c r="D355" i="1"/>
  <c r="C355" i="1"/>
  <c r="CN354" i="1"/>
  <c r="CM354" i="1"/>
  <c r="CJ354" i="1"/>
  <c r="CI354" i="1"/>
  <c r="CF354" i="1"/>
  <c r="CE354" i="1"/>
  <c r="CB354" i="1"/>
  <c r="CA354" i="1"/>
  <c r="BX354" i="1"/>
  <c r="BW354" i="1"/>
  <c r="BT354" i="1"/>
  <c r="BS354" i="1"/>
  <c r="BP354" i="1"/>
  <c r="BO354" i="1"/>
  <c r="BL354" i="1"/>
  <c r="BK354" i="1"/>
  <c r="BH354" i="1"/>
  <c r="BG354" i="1"/>
  <c r="BD354" i="1"/>
  <c r="BC354" i="1"/>
  <c r="AZ354" i="1"/>
  <c r="AY354" i="1"/>
  <c r="AV354" i="1"/>
  <c r="AU354" i="1"/>
  <c r="AR354" i="1"/>
  <c r="AQ354" i="1"/>
  <c r="AN354" i="1"/>
  <c r="AM354" i="1"/>
  <c r="AJ354" i="1"/>
  <c r="AI354" i="1"/>
  <c r="AF354" i="1"/>
  <c r="AE354" i="1"/>
  <c r="AB354" i="1"/>
  <c r="AA354" i="1"/>
  <c r="X354" i="1"/>
  <c r="W354" i="1"/>
  <c r="T354" i="1"/>
  <c r="S354" i="1"/>
  <c r="P354" i="1"/>
  <c r="O354" i="1"/>
  <c r="L354" i="1"/>
  <c r="K354" i="1"/>
  <c r="H354" i="1"/>
  <c r="G354" i="1"/>
  <c r="D354" i="1"/>
  <c r="C354" i="1"/>
  <c r="CN353" i="1"/>
  <c r="CM353" i="1"/>
  <c r="CJ353" i="1"/>
  <c r="CI353" i="1"/>
  <c r="CF353" i="1"/>
  <c r="CE353" i="1"/>
  <c r="CB353" i="1"/>
  <c r="CA353" i="1"/>
  <c r="BX353" i="1"/>
  <c r="BW353" i="1"/>
  <c r="BT353" i="1"/>
  <c r="BS353" i="1"/>
  <c r="BP353" i="1"/>
  <c r="BO353" i="1"/>
  <c r="BL353" i="1"/>
  <c r="BK353" i="1"/>
  <c r="BH353" i="1"/>
  <c r="BG353" i="1"/>
  <c r="BD353" i="1"/>
  <c r="BC353" i="1"/>
  <c r="AZ353" i="1"/>
  <c r="AY353" i="1"/>
  <c r="AV353" i="1"/>
  <c r="AU353" i="1"/>
  <c r="AR353" i="1"/>
  <c r="AQ353" i="1"/>
  <c r="AN353" i="1"/>
  <c r="AM353" i="1"/>
  <c r="AJ353" i="1"/>
  <c r="AI353" i="1"/>
  <c r="AF353" i="1"/>
  <c r="AE353" i="1"/>
  <c r="AB353" i="1"/>
  <c r="AA353" i="1"/>
  <c r="X353" i="1"/>
  <c r="W353" i="1"/>
  <c r="T353" i="1"/>
  <c r="S353" i="1"/>
  <c r="P353" i="1"/>
  <c r="O353" i="1"/>
  <c r="L353" i="1"/>
  <c r="K353" i="1"/>
  <c r="H353" i="1"/>
  <c r="G353" i="1"/>
  <c r="D353" i="1"/>
  <c r="C353" i="1"/>
  <c r="CN352" i="1"/>
  <c r="CM352" i="1"/>
  <c r="CJ352" i="1"/>
  <c r="CI352" i="1"/>
  <c r="CF352" i="1"/>
  <c r="CE352" i="1"/>
  <c r="CB352" i="1"/>
  <c r="CA352" i="1"/>
  <c r="BX352" i="1"/>
  <c r="BW352" i="1"/>
  <c r="BT352" i="1"/>
  <c r="BS352" i="1"/>
  <c r="BP352" i="1"/>
  <c r="BO352" i="1"/>
  <c r="BL352" i="1"/>
  <c r="BK352" i="1"/>
  <c r="BH352" i="1"/>
  <c r="BG352" i="1"/>
  <c r="BD352" i="1"/>
  <c r="BC352" i="1"/>
  <c r="AZ352" i="1"/>
  <c r="AY352" i="1"/>
  <c r="AV352" i="1"/>
  <c r="AU352" i="1"/>
  <c r="AR352" i="1"/>
  <c r="AQ352" i="1"/>
  <c r="AN352" i="1"/>
  <c r="AM352" i="1"/>
  <c r="AJ352" i="1"/>
  <c r="AI352" i="1"/>
  <c r="AF352" i="1"/>
  <c r="AE352" i="1"/>
  <c r="AB352" i="1"/>
  <c r="AA352" i="1"/>
  <c r="X352" i="1"/>
  <c r="W352" i="1"/>
  <c r="T352" i="1"/>
  <c r="S352" i="1"/>
  <c r="P352" i="1"/>
  <c r="O352" i="1"/>
  <c r="L352" i="1"/>
  <c r="K352" i="1"/>
  <c r="H352" i="1"/>
  <c r="G352" i="1"/>
  <c r="D352" i="1"/>
  <c r="C352" i="1"/>
  <c r="CN351" i="1"/>
  <c r="CM351" i="1"/>
  <c r="CJ351" i="1"/>
  <c r="CI351" i="1"/>
  <c r="CF351" i="1"/>
  <c r="CE351" i="1"/>
  <c r="CB351" i="1"/>
  <c r="CA351" i="1"/>
  <c r="BX351" i="1"/>
  <c r="BW351" i="1"/>
  <c r="BT351" i="1"/>
  <c r="BS351" i="1"/>
  <c r="BP351" i="1"/>
  <c r="BO351" i="1"/>
  <c r="BL351" i="1"/>
  <c r="BK351" i="1"/>
  <c r="BH351" i="1"/>
  <c r="BG351" i="1"/>
  <c r="BD351" i="1"/>
  <c r="BC351" i="1"/>
  <c r="AZ351" i="1"/>
  <c r="AY351" i="1"/>
  <c r="AV351" i="1"/>
  <c r="AU351" i="1"/>
  <c r="AR351" i="1"/>
  <c r="AQ351" i="1"/>
  <c r="AN351" i="1"/>
  <c r="AM351" i="1"/>
  <c r="AJ351" i="1"/>
  <c r="AI351" i="1"/>
  <c r="AF351" i="1"/>
  <c r="AE351" i="1"/>
  <c r="AB351" i="1"/>
  <c r="AA351" i="1"/>
  <c r="X351" i="1"/>
  <c r="W351" i="1"/>
  <c r="T351" i="1"/>
  <c r="S351" i="1"/>
  <c r="P351" i="1"/>
  <c r="O351" i="1"/>
  <c r="L351" i="1"/>
  <c r="K351" i="1"/>
  <c r="H351" i="1"/>
  <c r="G351" i="1"/>
  <c r="D351" i="1"/>
  <c r="C351" i="1"/>
  <c r="CN350" i="1"/>
  <c r="CM350" i="1"/>
  <c r="CJ350" i="1"/>
  <c r="CI350" i="1"/>
  <c r="CF350" i="1"/>
  <c r="CE350" i="1"/>
  <c r="CB350" i="1"/>
  <c r="CA350" i="1"/>
  <c r="BX350" i="1"/>
  <c r="BW350" i="1"/>
  <c r="BT350" i="1"/>
  <c r="BS350" i="1"/>
  <c r="BP350" i="1"/>
  <c r="BO350" i="1"/>
  <c r="BL350" i="1"/>
  <c r="BK350" i="1"/>
  <c r="BH350" i="1"/>
  <c r="BG350" i="1"/>
  <c r="BD350" i="1"/>
  <c r="BC350" i="1"/>
  <c r="AZ350" i="1"/>
  <c r="AY350" i="1"/>
  <c r="AV350" i="1"/>
  <c r="AU350" i="1"/>
  <c r="AR350" i="1"/>
  <c r="AQ350" i="1"/>
  <c r="AN350" i="1"/>
  <c r="AM350" i="1"/>
  <c r="AJ350" i="1"/>
  <c r="AI350" i="1"/>
  <c r="AF350" i="1"/>
  <c r="AE350" i="1"/>
  <c r="AB350" i="1"/>
  <c r="AA350" i="1"/>
  <c r="X350" i="1"/>
  <c r="W350" i="1"/>
  <c r="T350" i="1"/>
  <c r="S350" i="1"/>
  <c r="P350" i="1"/>
  <c r="O350" i="1"/>
  <c r="L350" i="1"/>
  <c r="K350" i="1"/>
  <c r="H350" i="1"/>
  <c r="G350" i="1"/>
  <c r="D350" i="1"/>
  <c r="C350" i="1"/>
  <c r="CN349" i="1"/>
  <c r="CM349" i="1"/>
  <c r="CJ349" i="1"/>
  <c r="CI349" i="1"/>
  <c r="CF349" i="1"/>
  <c r="CE349" i="1"/>
  <c r="CB349" i="1"/>
  <c r="CA349" i="1"/>
  <c r="BX349" i="1"/>
  <c r="BW349" i="1"/>
  <c r="BT349" i="1"/>
  <c r="BS349" i="1"/>
  <c r="BP349" i="1"/>
  <c r="BO349" i="1"/>
  <c r="BL349" i="1"/>
  <c r="BK349" i="1"/>
  <c r="BH349" i="1"/>
  <c r="BG349" i="1"/>
  <c r="BD349" i="1"/>
  <c r="BC349" i="1"/>
  <c r="AZ349" i="1"/>
  <c r="AY349" i="1"/>
  <c r="AV349" i="1"/>
  <c r="AU349" i="1"/>
  <c r="AR349" i="1"/>
  <c r="AQ349" i="1"/>
  <c r="AN349" i="1"/>
  <c r="AM349" i="1"/>
  <c r="AJ349" i="1"/>
  <c r="AI349" i="1"/>
  <c r="AF349" i="1"/>
  <c r="AE349" i="1"/>
  <c r="AB349" i="1"/>
  <c r="AA349" i="1"/>
  <c r="X349" i="1"/>
  <c r="W349" i="1"/>
  <c r="T349" i="1"/>
  <c r="S349" i="1"/>
  <c r="P349" i="1"/>
  <c r="O349" i="1"/>
  <c r="L349" i="1"/>
  <c r="K349" i="1"/>
  <c r="H349" i="1"/>
  <c r="G349" i="1"/>
  <c r="D349" i="1"/>
  <c r="C349" i="1"/>
  <c r="CN348" i="1"/>
  <c r="CM348" i="1"/>
  <c r="CJ348" i="1"/>
  <c r="CI348" i="1"/>
  <c r="CF348" i="1"/>
  <c r="CE348" i="1"/>
  <c r="CB348" i="1"/>
  <c r="CA348" i="1"/>
  <c r="BX348" i="1"/>
  <c r="BW348" i="1"/>
  <c r="BT348" i="1"/>
  <c r="BS348" i="1"/>
  <c r="BP348" i="1"/>
  <c r="BO348" i="1"/>
  <c r="BL348" i="1"/>
  <c r="BK348" i="1"/>
  <c r="BH348" i="1"/>
  <c r="BG348" i="1"/>
  <c r="BD348" i="1"/>
  <c r="BC348" i="1"/>
  <c r="AZ348" i="1"/>
  <c r="AY348" i="1"/>
  <c r="AV348" i="1"/>
  <c r="AU348" i="1"/>
  <c r="AR348" i="1"/>
  <c r="AQ348" i="1"/>
  <c r="AN348" i="1"/>
  <c r="AM348" i="1"/>
  <c r="AJ348" i="1"/>
  <c r="AI348" i="1"/>
  <c r="AF348" i="1"/>
  <c r="AE348" i="1"/>
  <c r="AB348" i="1"/>
  <c r="AA348" i="1"/>
  <c r="X348" i="1"/>
  <c r="W348" i="1"/>
  <c r="T348" i="1"/>
  <c r="S348" i="1"/>
  <c r="P348" i="1"/>
  <c r="O348" i="1"/>
  <c r="L348" i="1"/>
  <c r="K348" i="1"/>
  <c r="H348" i="1"/>
  <c r="G348" i="1"/>
  <c r="D348" i="1"/>
  <c r="C348" i="1"/>
  <c r="CN347" i="1"/>
  <c r="CM347" i="1"/>
  <c r="CJ347" i="1"/>
  <c r="CI347" i="1"/>
  <c r="CF347" i="1"/>
  <c r="CE347" i="1"/>
  <c r="CB347" i="1"/>
  <c r="CA347" i="1"/>
  <c r="BX347" i="1"/>
  <c r="BW347" i="1"/>
  <c r="BT347" i="1"/>
  <c r="BS347" i="1"/>
  <c r="BP347" i="1"/>
  <c r="BO347" i="1"/>
  <c r="BL347" i="1"/>
  <c r="BK347" i="1"/>
  <c r="BH347" i="1"/>
  <c r="BG347" i="1"/>
  <c r="BD347" i="1"/>
  <c r="BC347" i="1"/>
  <c r="AZ347" i="1"/>
  <c r="AY347" i="1"/>
  <c r="AV347" i="1"/>
  <c r="AU347" i="1"/>
  <c r="AR347" i="1"/>
  <c r="AQ347" i="1"/>
  <c r="AN347" i="1"/>
  <c r="AM347" i="1"/>
  <c r="AJ347" i="1"/>
  <c r="AI347" i="1"/>
  <c r="AF347" i="1"/>
  <c r="AE347" i="1"/>
  <c r="AB347" i="1"/>
  <c r="AA347" i="1"/>
  <c r="X347" i="1"/>
  <c r="W347" i="1"/>
  <c r="T347" i="1"/>
  <c r="S347" i="1"/>
  <c r="P347" i="1"/>
  <c r="O347" i="1"/>
  <c r="L347" i="1"/>
  <c r="K347" i="1"/>
  <c r="H347" i="1"/>
  <c r="G347" i="1"/>
  <c r="D347" i="1"/>
  <c r="C347" i="1"/>
  <c r="CN346" i="1"/>
  <c r="CM346" i="1"/>
  <c r="CJ346" i="1"/>
  <c r="CI346" i="1"/>
  <c r="CF346" i="1"/>
  <c r="CE346" i="1"/>
  <c r="CB346" i="1"/>
  <c r="CA346" i="1"/>
  <c r="BX346" i="1"/>
  <c r="BW346" i="1"/>
  <c r="BT346" i="1"/>
  <c r="BS346" i="1"/>
  <c r="BP346" i="1"/>
  <c r="BO346" i="1"/>
  <c r="BL346" i="1"/>
  <c r="BK346" i="1"/>
  <c r="BH346" i="1"/>
  <c r="BG346" i="1"/>
  <c r="BD346" i="1"/>
  <c r="BC346" i="1"/>
  <c r="AZ346" i="1"/>
  <c r="AY346" i="1"/>
  <c r="AV346" i="1"/>
  <c r="AU346" i="1"/>
  <c r="AR346" i="1"/>
  <c r="AQ346" i="1"/>
  <c r="AN346" i="1"/>
  <c r="AM346" i="1"/>
  <c r="AJ346" i="1"/>
  <c r="AI346" i="1"/>
  <c r="AF346" i="1"/>
  <c r="AE346" i="1"/>
  <c r="AB346" i="1"/>
  <c r="AA346" i="1"/>
  <c r="X346" i="1"/>
  <c r="W346" i="1"/>
  <c r="T346" i="1"/>
  <c r="S346" i="1"/>
  <c r="P346" i="1"/>
  <c r="O346" i="1"/>
  <c r="L346" i="1"/>
  <c r="K346" i="1"/>
  <c r="H346" i="1"/>
  <c r="G346" i="1"/>
  <c r="D346" i="1"/>
  <c r="C346" i="1"/>
  <c r="CN345" i="1"/>
  <c r="CM345" i="1"/>
  <c r="CJ345" i="1"/>
  <c r="CI345" i="1"/>
  <c r="CF345" i="1"/>
  <c r="CE345" i="1"/>
  <c r="CB345" i="1"/>
  <c r="CA345" i="1"/>
  <c r="BX345" i="1"/>
  <c r="BW345" i="1"/>
  <c r="BT345" i="1"/>
  <c r="BS345" i="1"/>
  <c r="BP345" i="1"/>
  <c r="BO345" i="1"/>
  <c r="BL345" i="1"/>
  <c r="BK345" i="1"/>
  <c r="BH345" i="1"/>
  <c r="BG345" i="1"/>
  <c r="BD345" i="1"/>
  <c r="BC345" i="1"/>
  <c r="AZ345" i="1"/>
  <c r="AY345" i="1"/>
  <c r="AV345" i="1"/>
  <c r="AU345" i="1"/>
  <c r="AR345" i="1"/>
  <c r="AQ345" i="1"/>
  <c r="AN345" i="1"/>
  <c r="AM345" i="1"/>
  <c r="AJ345" i="1"/>
  <c r="AI345" i="1"/>
  <c r="AF345" i="1"/>
  <c r="AE345" i="1"/>
  <c r="AB345" i="1"/>
  <c r="AA345" i="1"/>
  <c r="X345" i="1"/>
  <c r="W345" i="1"/>
  <c r="T345" i="1"/>
  <c r="S345" i="1"/>
  <c r="P345" i="1"/>
  <c r="O345" i="1"/>
  <c r="L345" i="1"/>
  <c r="K345" i="1"/>
  <c r="H345" i="1"/>
  <c r="G345" i="1"/>
  <c r="D345" i="1"/>
  <c r="C345" i="1"/>
  <c r="CN344" i="1"/>
  <c r="CM344" i="1"/>
  <c r="CJ344" i="1"/>
  <c r="CI344" i="1"/>
  <c r="CF344" i="1"/>
  <c r="CE344" i="1"/>
  <c r="CB344" i="1"/>
  <c r="CA344" i="1"/>
  <c r="BX344" i="1"/>
  <c r="BW344" i="1"/>
  <c r="BT344" i="1"/>
  <c r="BS344" i="1"/>
  <c r="BP344" i="1"/>
  <c r="BO344" i="1"/>
  <c r="BL344" i="1"/>
  <c r="BK344" i="1"/>
  <c r="BH344" i="1"/>
  <c r="BG344" i="1"/>
  <c r="BD344" i="1"/>
  <c r="BC344" i="1"/>
  <c r="AZ344" i="1"/>
  <c r="AY344" i="1"/>
  <c r="AV344" i="1"/>
  <c r="AU344" i="1"/>
  <c r="AR344" i="1"/>
  <c r="AQ344" i="1"/>
  <c r="AN344" i="1"/>
  <c r="AM344" i="1"/>
  <c r="AJ344" i="1"/>
  <c r="AI344" i="1"/>
  <c r="AF344" i="1"/>
  <c r="AE344" i="1"/>
  <c r="AB344" i="1"/>
  <c r="AA344" i="1"/>
  <c r="X344" i="1"/>
  <c r="W344" i="1"/>
  <c r="T344" i="1"/>
  <c r="S344" i="1"/>
  <c r="P344" i="1"/>
  <c r="O344" i="1"/>
  <c r="L344" i="1"/>
  <c r="K344" i="1"/>
  <c r="H344" i="1"/>
  <c r="G344" i="1"/>
  <c r="D344" i="1"/>
  <c r="C344" i="1"/>
  <c r="CN343" i="1"/>
  <c r="CM343" i="1"/>
  <c r="CJ343" i="1"/>
  <c r="CI343" i="1"/>
  <c r="CF343" i="1"/>
  <c r="CE343" i="1"/>
  <c r="CB343" i="1"/>
  <c r="CA343" i="1"/>
  <c r="BX343" i="1"/>
  <c r="BW343" i="1"/>
  <c r="BT343" i="1"/>
  <c r="BS343" i="1"/>
  <c r="BP343" i="1"/>
  <c r="BO343" i="1"/>
  <c r="BL343" i="1"/>
  <c r="BK343" i="1"/>
  <c r="BH343" i="1"/>
  <c r="BG343" i="1"/>
  <c r="BD343" i="1"/>
  <c r="BC343" i="1"/>
  <c r="AZ343" i="1"/>
  <c r="AY343" i="1"/>
  <c r="AV343" i="1"/>
  <c r="AU343" i="1"/>
  <c r="AR343" i="1"/>
  <c r="AQ343" i="1"/>
  <c r="AN343" i="1"/>
  <c r="AM343" i="1"/>
  <c r="AJ343" i="1"/>
  <c r="AI343" i="1"/>
  <c r="AF343" i="1"/>
  <c r="AE343" i="1"/>
  <c r="AB343" i="1"/>
  <c r="AA343" i="1"/>
  <c r="X343" i="1"/>
  <c r="W343" i="1"/>
  <c r="T343" i="1"/>
  <c r="S343" i="1"/>
  <c r="P343" i="1"/>
  <c r="O343" i="1"/>
  <c r="L343" i="1"/>
  <c r="K343" i="1"/>
  <c r="H343" i="1"/>
  <c r="G343" i="1"/>
  <c r="D343" i="1"/>
  <c r="C343" i="1"/>
  <c r="CN342" i="1"/>
  <c r="CM342" i="1"/>
  <c r="CJ342" i="1"/>
  <c r="CI342" i="1"/>
  <c r="CF342" i="1"/>
  <c r="CE342" i="1"/>
  <c r="CB342" i="1"/>
  <c r="CA342" i="1"/>
  <c r="BX342" i="1"/>
  <c r="BW342" i="1"/>
  <c r="BT342" i="1"/>
  <c r="BS342" i="1"/>
  <c r="BP342" i="1"/>
  <c r="BO342" i="1"/>
  <c r="BL342" i="1"/>
  <c r="BK342" i="1"/>
  <c r="BH342" i="1"/>
  <c r="BG342" i="1"/>
  <c r="BD342" i="1"/>
  <c r="BC342" i="1"/>
  <c r="AZ342" i="1"/>
  <c r="AY342" i="1"/>
  <c r="AV342" i="1"/>
  <c r="AU342" i="1"/>
  <c r="AR342" i="1"/>
  <c r="AQ342" i="1"/>
  <c r="AN342" i="1"/>
  <c r="AM342" i="1"/>
  <c r="AJ342" i="1"/>
  <c r="AI342" i="1"/>
  <c r="AF342" i="1"/>
  <c r="AE342" i="1"/>
  <c r="AB342" i="1"/>
  <c r="AA342" i="1"/>
  <c r="X342" i="1"/>
  <c r="W342" i="1"/>
  <c r="T342" i="1"/>
  <c r="S342" i="1"/>
  <c r="P342" i="1"/>
  <c r="O342" i="1"/>
  <c r="L342" i="1"/>
  <c r="K342" i="1"/>
  <c r="H342" i="1"/>
  <c r="G342" i="1"/>
  <c r="D342" i="1"/>
  <c r="C342" i="1"/>
  <c r="CN341" i="1"/>
  <c r="CM341" i="1"/>
  <c r="CJ341" i="1"/>
  <c r="CI341" i="1"/>
  <c r="CF341" i="1"/>
  <c r="CE341" i="1"/>
  <c r="CB341" i="1"/>
  <c r="CA341" i="1"/>
  <c r="BX341" i="1"/>
  <c r="BW341" i="1"/>
  <c r="BT341" i="1"/>
  <c r="BS341" i="1"/>
  <c r="BP341" i="1"/>
  <c r="BO341" i="1"/>
  <c r="BL341" i="1"/>
  <c r="BK341" i="1"/>
  <c r="BH341" i="1"/>
  <c r="BG341" i="1"/>
  <c r="BD341" i="1"/>
  <c r="BC341" i="1"/>
  <c r="AZ341" i="1"/>
  <c r="AY341" i="1"/>
  <c r="AV341" i="1"/>
  <c r="AU341" i="1"/>
  <c r="AR341" i="1"/>
  <c r="AQ341" i="1"/>
  <c r="AN341" i="1"/>
  <c r="AM341" i="1"/>
  <c r="AJ341" i="1"/>
  <c r="AI341" i="1"/>
  <c r="AF341" i="1"/>
  <c r="AE341" i="1"/>
  <c r="AB341" i="1"/>
  <c r="AA341" i="1"/>
  <c r="X341" i="1"/>
  <c r="W341" i="1"/>
  <c r="T341" i="1"/>
  <c r="S341" i="1"/>
  <c r="P341" i="1"/>
  <c r="O341" i="1"/>
  <c r="L341" i="1"/>
  <c r="K341" i="1"/>
  <c r="H341" i="1"/>
  <c r="G341" i="1"/>
  <c r="D341" i="1"/>
  <c r="C341" i="1"/>
  <c r="CN340" i="1"/>
  <c r="CM340" i="1"/>
  <c r="CJ340" i="1"/>
  <c r="CI340" i="1"/>
  <c r="CF340" i="1"/>
  <c r="CE340" i="1"/>
  <c r="CB340" i="1"/>
  <c r="CA340" i="1"/>
  <c r="BX340" i="1"/>
  <c r="BW340" i="1"/>
  <c r="BT340" i="1"/>
  <c r="BS340" i="1"/>
  <c r="BP340" i="1"/>
  <c r="BO340" i="1"/>
  <c r="BL340" i="1"/>
  <c r="BK340" i="1"/>
  <c r="BH340" i="1"/>
  <c r="BG340" i="1"/>
  <c r="BD340" i="1"/>
  <c r="BC340" i="1"/>
  <c r="AZ340" i="1"/>
  <c r="AY340" i="1"/>
  <c r="AV340" i="1"/>
  <c r="AU340" i="1"/>
  <c r="AR340" i="1"/>
  <c r="AQ340" i="1"/>
  <c r="AN340" i="1"/>
  <c r="AM340" i="1"/>
  <c r="AJ340" i="1"/>
  <c r="AI340" i="1"/>
  <c r="AF340" i="1"/>
  <c r="AE340" i="1"/>
  <c r="AB340" i="1"/>
  <c r="AA340" i="1"/>
  <c r="X340" i="1"/>
  <c r="W340" i="1"/>
  <c r="T340" i="1"/>
  <c r="S340" i="1"/>
  <c r="P340" i="1"/>
  <c r="O340" i="1"/>
  <c r="L340" i="1"/>
  <c r="K340" i="1"/>
  <c r="H340" i="1"/>
  <c r="G340" i="1"/>
  <c r="D340" i="1"/>
  <c r="C340" i="1"/>
  <c r="CN339" i="1"/>
  <c r="CM339" i="1"/>
  <c r="CJ339" i="1"/>
  <c r="CI339" i="1"/>
  <c r="CF339" i="1"/>
  <c r="CE339" i="1"/>
  <c r="CB339" i="1"/>
  <c r="CA339" i="1"/>
  <c r="BX339" i="1"/>
  <c r="BW339" i="1"/>
  <c r="BT339" i="1"/>
  <c r="BS339" i="1"/>
  <c r="BP339" i="1"/>
  <c r="BO339" i="1"/>
  <c r="BL339" i="1"/>
  <c r="BK339" i="1"/>
  <c r="BH339" i="1"/>
  <c r="BG339" i="1"/>
  <c r="BD339" i="1"/>
  <c r="BC339" i="1"/>
  <c r="AZ339" i="1"/>
  <c r="AY339" i="1"/>
  <c r="AV339" i="1"/>
  <c r="AU339" i="1"/>
  <c r="AR339" i="1"/>
  <c r="AQ339" i="1"/>
  <c r="AN339" i="1"/>
  <c r="AM339" i="1"/>
  <c r="AJ339" i="1"/>
  <c r="AI339" i="1"/>
  <c r="AF339" i="1"/>
  <c r="AE339" i="1"/>
  <c r="AB339" i="1"/>
  <c r="AA339" i="1"/>
  <c r="X339" i="1"/>
  <c r="W339" i="1"/>
  <c r="T339" i="1"/>
  <c r="S339" i="1"/>
  <c r="P339" i="1"/>
  <c r="O339" i="1"/>
  <c r="L339" i="1"/>
  <c r="K339" i="1"/>
  <c r="H339" i="1"/>
  <c r="G339" i="1"/>
  <c r="D339" i="1"/>
  <c r="C339" i="1"/>
  <c r="CN338" i="1"/>
  <c r="CM338" i="1"/>
  <c r="CJ338" i="1"/>
  <c r="CI338" i="1"/>
  <c r="CF338" i="1"/>
  <c r="CE338" i="1"/>
  <c r="CB338" i="1"/>
  <c r="CA338" i="1"/>
  <c r="BX338" i="1"/>
  <c r="BW338" i="1"/>
  <c r="BT338" i="1"/>
  <c r="BS338" i="1"/>
  <c r="BP338" i="1"/>
  <c r="BO338" i="1"/>
  <c r="BL338" i="1"/>
  <c r="BK338" i="1"/>
  <c r="BH338" i="1"/>
  <c r="BG338" i="1"/>
  <c r="BD338" i="1"/>
  <c r="BC338" i="1"/>
  <c r="AZ338" i="1"/>
  <c r="AY338" i="1"/>
  <c r="AV338" i="1"/>
  <c r="AU338" i="1"/>
  <c r="AR338" i="1"/>
  <c r="AQ338" i="1"/>
  <c r="AN338" i="1"/>
  <c r="AM338" i="1"/>
  <c r="AJ338" i="1"/>
  <c r="AI338" i="1"/>
  <c r="AF338" i="1"/>
  <c r="AE338" i="1"/>
  <c r="AB338" i="1"/>
  <c r="AA338" i="1"/>
  <c r="X338" i="1"/>
  <c r="W338" i="1"/>
  <c r="T338" i="1"/>
  <c r="S338" i="1"/>
  <c r="P338" i="1"/>
  <c r="O338" i="1"/>
  <c r="L338" i="1"/>
  <c r="K338" i="1"/>
  <c r="H338" i="1"/>
  <c r="G338" i="1"/>
  <c r="D338" i="1"/>
  <c r="C338" i="1"/>
  <c r="CN337" i="1"/>
  <c r="CM337" i="1"/>
  <c r="CJ337" i="1"/>
  <c r="CI337" i="1"/>
  <c r="CF337" i="1"/>
  <c r="CE337" i="1"/>
  <c r="CB337" i="1"/>
  <c r="CA337" i="1"/>
  <c r="BX337" i="1"/>
  <c r="BW337" i="1"/>
  <c r="BT337" i="1"/>
  <c r="BS337" i="1"/>
  <c r="BP337" i="1"/>
  <c r="BO337" i="1"/>
  <c r="BL337" i="1"/>
  <c r="BK337" i="1"/>
  <c r="BH337" i="1"/>
  <c r="BG337" i="1"/>
  <c r="BD337" i="1"/>
  <c r="BC337" i="1"/>
  <c r="AZ337" i="1"/>
  <c r="AY337" i="1"/>
  <c r="AV337" i="1"/>
  <c r="AU337" i="1"/>
  <c r="AR337" i="1"/>
  <c r="AQ337" i="1"/>
  <c r="AN337" i="1"/>
  <c r="AM337" i="1"/>
  <c r="AJ337" i="1"/>
  <c r="AI337" i="1"/>
  <c r="AF337" i="1"/>
  <c r="AE337" i="1"/>
  <c r="AB337" i="1"/>
  <c r="AA337" i="1"/>
  <c r="X337" i="1"/>
  <c r="W337" i="1"/>
  <c r="T337" i="1"/>
  <c r="S337" i="1"/>
  <c r="P337" i="1"/>
  <c r="O337" i="1"/>
  <c r="L337" i="1"/>
  <c r="K337" i="1"/>
  <c r="H337" i="1"/>
  <c r="G337" i="1"/>
  <c r="D337" i="1"/>
  <c r="C337" i="1"/>
  <c r="CN336" i="1"/>
  <c r="CM336" i="1"/>
  <c r="CJ336" i="1"/>
  <c r="CI336" i="1"/>
  <c r="CF336" i="1"/>
  <c r="CE336" i="1"/>
  <c r="CB336" i="1"/>
  <c r="CA336" i="1"/>
  <c r="BX336" i="1"/>
  <c r="BW336" i="1"/>
  <c r="BT336" i="1"/>
  <c r="BS336" i="1"/>
  <c r="BP336" i="1"/>
  <c r="BO336" i="1"/>
  <c r="BL336" i="1"/>
  <c r="BK336" i="1"/>
  <c r="BH336" i="1"/>
  <c r="BG336" i="1"/>
  <c r="BD336" i="1"/>
  <c r="BC336" i="1"/>
  <c r="AZ336" i="1"/>
  <c r="AY336" i="1"/>
  <c r="AV336" i="1"/>
  <c r="AU336" i="1"/>
  <c r="AR336" i="1"/>
  <c r="AQ336" i="1"/>
  <c r="AN336" i="1"/>
  <c r="AM336" i="1"/>
  <c r="AJ336" i="1"/>
  <c r="AI336" i="1"/>
  <c r="AF336" i="1"/>
  <c r="AE336" i="1"/>
  <c r="AB336" i="1"/>
  <c r="AA336" i="1"/>
  <c r="X336" i="1"/>
  <c r="W336" i="1"/>
  <c r="T336" i="1"/>
  <c r="S336" i="1"/>
  <c r="P336" i="1"/>
  <c r="O336" i="1"/>
  <c r="L336" i="1"/>
  <c r="K336" i="1"/>
  <c r="H336" i="1"/>
  <c r="G336" i="1"/>
  <c r="D336" i="1"/>
  <c r="C336" i="1"/>
  <c r="CN335" i="1"/>
  <c r="CM335" i="1"/>
  <c r="CJ335" i="1"/>
  <c r="CI335" i="1"/>
  <c r="CF335" i="1"/>
  <c r="CE335" i="1"/>
  <c r="CB335" i="1"/>
  <c r="CA335" i="1"/>
  <c r="BX335" i="1"/>
  <c r="BW335" i="1"/>
  <c r="BT335" i="1"/>
  <c r="BS335" i="1"/>
  <c r="BP335" i="1"/>
  <c r="BO335" i="1"/>
  <c r="BL335" i="1"/>
  <c r="BK335" i="1"/>
  <c r="BH335" i="1"/>
  <c r="BG335" i="1"/>
  <c r="BD335" i="1"/>
  <c r="BC335" i="1"/>
  <c r="AZ335" i="1"/>
  <c r="AY335" i="1"/>
  <c r="AV335" i="1"/>
  <c r="AU335" i="1"/>
  <c r="AR335" i="1"/>
  <c r="AQ335" i="1"/>
  <c r="AN335" i="1"/>
  <c r="AM335" i="1"/>
  <c r="AJ335" i="1"/>
  <c r="AI335" i="1"/>
  <c r="AF335" i="1"/>
  <c r="AE335" i="1"/>
  <c r="AB335" i="1"/>
  <c r="AA335" i="1"/>
  <c r="X335" i="1"/>
  <c r="W335" i="1"/>
  <c r="T335" i="1"/>
  <c r="S335" i="1"/>
  <c r="P335" i="1"/>
  <c r="O335" i="1"/>
  <c r="L335" i="1"/>
  <c r="K335" i="1"/>
  <c r="H335" i="1"/>
  <c r="G335" i="1"/>
  <c r="D335" i="1"/>
  <c r="C335" i="1"/>
  <c r="CN334" i="1"/>
  <c r="CM334" i="1"/>
  <c r="CJ334" i="1"/>
  <c r="CI334" i="1"/>
  <c r="CF334" i="1"/>
  <c r="CE334" i="1"/>
  <c r="CB334" i="1"/>
  <c r="CA334" i="1"/>
  <c r="BX334" i="1"/>
  <c r="BW334" i="1"/>
  <c r="BT334" i="1"/>
  <c r="BS334" i="1"/>
  <c r="BP334" i="1"/>
  <c r="BO334" i="1"/>
  <c r="BL334" i="1"/>
  <c r="BK334" i="1"/>
  <c r="BH334" i="1"/>
  <c r="BG334" i="1"/>
  <c r="BD334" i="1"/>
  <c r="BC334" i="1"/>
  <c r="AZ334" i="1"/>
  <c r="AY334" i="1"/>
  <c r="AV334" i="1"/>
  <c r="AU334" i="1"/>
  <c r="AR334" i="1"/>
  <c r="AQ334" i="1"/>
  <c r="AN334" i="1"/>
  <c r="AM334" i="1"/>
  <c r="AJ334" i="1"/>
  <c r="AI334" i="1"/>
  <c r="AF334" i="1"/>
  <c r="AE334" i="1"/>
  <c r="AB334" i="1"/>
  <c r="AA334" i="1"/>
  <c r="X334" i="1"/>
  <c r="W334" i="1"/>
  <c r="T334" i="1"/>
  <c r="S334" i="1"/>
  <c r="P334" i="1"/>
  <c r="O334" i="1"/>
  <c r="L334" i="1"/>
  <c r="K334" i="1"/>
  <c r="H334" i="1"/>
  <c r="G334" i="1"/>
  <c r="D334" i="1"/>
  <c r="C334" i="1"/>
  <c r="CN333" i="1"/>
  <c r="CM333" i="1"/>
  <c r="CJ333" i="1"/>
  <c r="CI333" i="1"/>
  <c r="CF333" i="1"/>
  <c r="CE333" i="1"/>
  <c r="CB333" i="1"/>
  <c r="CA333" i="1"/>
  <c r="BX333" i="1"/>
  <c r="BW333" i="1"/>
  <c r="BT333" i="1"/>
  <c r="BS333" i="1"/>
  <c r="BP333" i="1"/>
  <c r="BO333" i="1"/>
  <c r="BL333" i="1"/>
  <c r="BK333" i="1"/>
  <c r="BH333" i="1"/>
  <c r="BG333" i="1"/>
  <c r="BD333" i="1"/>
  <c r="BC333" i="1"/>
  <c r="AZ333" i="1"/>
  <c r="AY333" i="1"/>
  <c r="AV333" i="1"/>
  <c r="AU333" i="1"/>
  <c r="AR333" i="1"/>
  <c r="AQ333" i="1"/>
  <c r="AN333" i="1"/>
  <c r="AM333" i="1"/>
  <c r="AJ333" i="1"/>
  <c r="AI333" i="1"/>
  <c r="AF333" i="1"/>
  <c r="AE333" i="1"/>
  <c r="AB333" i="1"/>
  <c r="AA333" i="1"/>
  <c r="X333" i="1"/>
  <c r="W333" i="1"/>
  <c r="T333" i="1"/>
  <c r="S333" i="1"/>
  <c r="P333" i="1"/>
  <c r="O333" i="1"/>
  <c r="L333" i="1"/>
  <c r="K333" i="1"/>
  <c r="H333" i="1"/>
  <c r="G333" i="1"/>
  <c r="D333" i="1"/>
  <c r="C333" i="1"/>
  <c r="CN332" i="1"/>
  <c r="CM332" i="1"/>
  <c r="CJ332" i="1"/>
  <c r="CI332" i="1"/>
  <c r="CF332" i="1"/>
  <c r="CE332" i="1"/>
  <c r="CB332" i="1"/>
  <c r="CA332" i="1"/>
  <c r="BX332" i="1"/>
  <c r="BW332" i="1"/>
  <c r="BT332" i="1"/>
  <c r="BS332" i="1"/>
  <c r="BP332" i="1"/>
  <c r="BO332" i="1"/>
  <c r="BL332" i="1"/>
  <c r="BK332" i="1"/>
  <c r="BH332" i="1"/>
  <c r="BG332" i="1"/>
  <c r="BD332" i="1"/>
  <c r="BC332" i="1"/>
  <c r="AZ332" i="1"/>
  <c r="AY332" i="1"/>
  <c r="AV332" i="1"/>
  <c r="AU332" i="1"/>
  <c r="AR332" i="1"/>
  <c r="AQ332" i="1"/>
  <c r="AN332" i="1"/>
  <c r="AM332" i="1"/>
  <c r="AJ332" i="1"/>
  <c r="AI332" i="1"/>
  <c r="AF332" i="1"/>
  <c r="AE332" i="1"/>
  <c r="AB332" i="1"/>
  <c r="AA332" i="1"/>
  <c r="X332" i="1"/>
  <c r="W332" i="1"/>
  <c r="T332" i="1"/>
  <c r="S332" i="1"/>
  <c r="P332" i="1"/>
  <c r="O332" i="1"/>
  <c r="L332" i="1"/>
  <c r="K332" i="1"/>
  <c r="H332" i="1"/>
  <c r="G332" i="1"/>
  <c r="D332" i="1"/>
  <c r="C332" i="1"/>
  <c r="CN331" i="1"/>
  <c r="CM331" i="1"/>
  <c r="CJ331" i="1"/>
  <c r="CI331" i="1"/>
  <c r="CF331" i="1"/>
  <c r="CE331" i="1"/>
  <c r="CB331" i="1"/>
  <c r="CA331" i="1"/>
  <c r="BX331" i="1"/>
  <c r="BW331" i="1"/>
  <c r="BT331" i="1"/>
  <c r="BS331" i="1"/>
  <c r="BP331" i="1"/>
  <c r="BO331" i="1"/>
  <c r="BL331" i="1"/>
  <c r="BK331" i="1"/>
  <c r="BH331" i="1"/>
  <c r="BG331" i="1"/>
  <c r="BD331" i="1"/>
  <c r="BC331" i="1"/>
  <c r="AZ331" i="1"/>
  <c r="AY331" i="1"/>
  <c r="AV331" i="1"/>
  <c r="AU331" i="1"/>
  <c r="AR331" i="1"/>
  <c r="AQ331" i="1"/>
  <c r="AN331" i="1"/>
  <c r="AM331" i="1"/>
  <c r="AJ331" i="1"/>
  <c r="AI331" i="1"/>
  <c r="AF331" i="1"/>
  <c r="AE331" i="1"/>
  <c r="AB331" i="1"/>
  <c r="AA331" i="1"/>
  <c r="X331" i="1"/>
  <c r="W331" i="1"/>
  <c r="T331" i="1"/>
  <c r="S331" i="1"/>
  <c r="P331" i="1"/>
  <c r="O331" i="1"/>
  <c r="L331" i="1"/>
  <c r="K331" i="1"/>
  <c r="H331" i="1"/>
  <c r="G331" i="1"/>
  <c r="D331" i="1"/>
  <c r="C331" i="1"/>
  <c r="CN330" i="1"/>
  <c r="CM330" i="1"/>
  <c r="CJ330" i="1"/>
  <c r="CI330" i="1"/>
  <c r="CF330" i="1"/>
  <c r="CE330" i="1"/>
  <c r="CB330" i="1"/>
  <c r="CA330" i="1"/>
  <c r="BX330" i="1"/>
  <c r="BW330" i="1"/>
  <c r="BT330" i="1"/>
  <c r="BS330" i="1"/>
  <c r="BP330" i="1"/>
  <c r="BO330" i="1"/>
  <c r="BL330" i="1"/>
  <c r="BK330" i="1"/>
  <c r="BH330" i="1"/>
  <c r="BG330" i="1"/>
  <c r="BD330" i="1"/>
  <c r="BC330" i="1"/>
  <c r="AZ330" i="1"/>
  <c r="AY330" i="1"/>
  <c r="AV330" i="1"/>
  <c r="AU330" i="1"/>
  <c r="AR330" i="1"/>
  <c r="AQ330" i="1"/>
  <c r="AN330" i="1"/>
  <c r="AM330" i="1"/>
  <c r="AJ330" i="1"/>
  <c r="AI330" i="1"/>
  <c r="AF330" i="1"/>
  <c r="AE330" i="1"/>
  <c r="AB330" i="1"/>
  <c r="AA330" i="1"/>
  <c r="X330" i="1"/>
  <c r="W330" i="1"/>
  <c r="T330" i="1"/>
  <c r="S330" i="1"/>
  <c r="P330" i="1"/>
  <c r="O330" i="1"/>
  <c r="L330" i="1"/>
  <c r="K330" i="1"/>
  <c r="H330" i="1"/>
  <c r="G330" i="1"/>
  <c r="D330" i="1"/>
  <c r="C330" i="1"/>
  <c r="CN329" i="1"/>
  <c r="CM329" i="1"/>
  <c r="CJ329" i="1"/>
  <c r="CI329" i="1"/>
  <c r="CF329" i="1"/>
  <c r="CE329" i="1"/>
  <c r="CB329" i="1"/>
  <c r="CA329" i="1"/>
  <c r="BX329" i="1"/>
  <c r="BW329" i="1"/>
  <c r="BT329" i="1"/>
  <c r="BS329" i="1"/>
  <c r="BP329" i="1"/>
  <c r="BO329" i="1"/>
  <c r="BL329" i="1"/>
  <c r="BK329" i="1"/>
  <c r="BH329" i="1"/>
  <c r="BG329" i="1"/>
  <c r="BD329" i="1"/>
  <c r="BC329" i="1"/>
  <c r="AZ329" i="1"/>
  <c r="AY329" i="1"/>
  <c r="AV329" i="1"/>
  <c r="AU329" i="1"/>
  <c r="AR329" i="1"/>
  <c r="AQ329" i="1"/>
  <c r="AN329" i="1"/>
  <c r="AM329" i="1"/>
  <c r="AJ329" i="1"/>
  <c r="AI329" i="1"/>
  <c r="AF329" i="1"/>
  <c r="AE329" i="1"/>
  <c r="AB329" i="1"/>
  <c r="AA329" i="1"/>
  <c r="X329" i="1"/>
  <c r="W329" i="1"/>
  <c r="T329" i="1"/>
  <c r="S329" i="1"/>
  <c r="P329" i="1"/>
  <c r="O329" i="1"/>
  <c r="L329" i="1"/>
  <c r="K329" i="1"/>
  <c r="H329" i="1"/>
  <c r="G329" i="1"/>
  <c r="D329" i="1"/>
  <c r="C329" i="1"/>
  <c r="CN328" i="1"/>
  <c r="CM328" i="1"/>
  <c r="CJ328" i="1"/>
  <c r="CI328" i="1"/>
  <c r="CF328" i="1"/>
  <c r="CE328" i="1"/>
  <c r="CB328" i="1"/>
  <c r="CA328" i="1"/>
  <c r="BX328" i="1"/>
  <c r="BW328" i="1"/>
  <c r="BT328" i="1"/>
  <c r="BS328" i="1"/>
  <c r="BP328" i="1"/>
  <c r="BO328" i="1"/>
  <c r="BL328" i="1"/>
  <c r="BK328" i="1"/>
  <c r="BH328" i="1"/>
  <c r="BG328" i="1"/>
  <c r="BD328" i="1"/>
  <c r="BC328" i="1"/>
  <c r="AZ328" i="1"/>
  <c r="AY328" i="1"/>
  <c r="AV328" i="1"/>
  <c r="AU328" i="1"/>
  <c r="AR328" i="1"/>
  <c r="AQ328" i="1"/>
  <c r="AN328" i="1"/>
  <c r="AM328" i="1"/>
  <c r="AJ328" i="1"/>
  <c r="AI328" i="1"/>
  <c r="AF328" i="1"/>
  <c r="AE328" i="1"/>
  <c r="AB328" i="1"/>
  <c r="AA328" i="1"/>
  <c r="X328" i="1"/>
  <c r="W328" i="1"/>
  <c r="T328" i="1"/>
  <c r="S328" i="1"/>
  <c r="P328" i="1"/>
  <c r="O328" i="1"/>
  <c r="L328" i="1"/>
  <c r="K328" i="1"/>
  <c r="H328" i="1"/>
  <c r="G328" i="1"/>
  <c r="D328" i="1"/>
  <c r="C328" i="1"/>
  <c r="CN327" i="1"/>
  <c r="CM327" i="1"/>
  <c r="CJ327" i="1"/>
  <c r="CI327" i="1"/>
  <c r="CF327" i="1"/>
  <c r="CE327" i="1"/>
  <c r="CB327" i="1"/>
  <c r="CA327" i="1"/>
  <c r="BX327" i="1"/>
  <c r="BW327" i="1"/>
  <c r="BT327" i="1"/>
  <c r="BS327" i="1"/>
  <c r="BP327" i="1"/>
  <c r="BO327" i="1"/>
  <c r="BL327" i="1"/>
  <c r="BK327" i="1"/>
  <c r="BH327" i="1"/>
  <c r="BG327" i="1"/>
  <c r="BD327" i="1"/>
  <c r="BC327" i="1"/>
  <c r="AZ327" i="1"/>
  <c r="AY327" i="1"/>
  <c r="AV327" i="1"/>
  <c r="AU327" i="1"/>
  <c r="AR327" i="1"/>
  <c r="AQ327" i="1"/>
  <c r="AN327" i="1"/>
  <c r="AM327" i="1"/>
  <c r="AJ327" i="1"/>
  <c r="AI327" i="1"/>
  <c r="AF327" i="1"/>
  <c r="AE327" i="1"/>
  <c r="AB327" i="1"/>
  <c r="AA327" i="1"/>
  <c r="X327" i="1"/>
  <c r="W327" i="1"/>
  <c r="T327" i="1"/>
  <c r="S327" i="1"/>
  <c r="P327" i="1"/>
  <c r="O327" i="1"/>
  <c r="L327" i="1"/>
  <c r="K327" i="1"/>
  <c r="H327" i="1"/>
  <c r="G327" i="1"/>
  <c r="D327" i="1"/>
  <c r="C327" i="1"/>
  <c r="CN326" i="1"/>
  <c r="CM326" i="1"/>
  <c r="CJ326" i="1"/>
  <c r="CI326" i="1"/>
  <c r="CF326" i="1"/>
  <c r="CE326" i="1"/>
  <c r="CB326" i="1"/>
  <c r="CA326" i="1"/>
  <c r="BX326" i="1"/>
  <c r="BW326" i="1"/>
  <c r="BT326" i="1"/>
  <c r="BS326" i="1"/>
  <c r="BP326" i="1"/>
  <c r="BO326" i="1"/>
  <c r="BL326" i="1"/>
  <c r="BK326" i="1"/>
  <c r="BH326" i="1"/>
  <c r="BG326" i="1"/>
  <c r="BD326" i="1"/>
  <c r="BC326" i="1"/>
  <c r="AZ326" i="1"/>
  <c r="AY326" i="1"/>
  <c r="AV326" i="1"/>
  <c r="AU326" i="1"/>
  <c r="AR326" i="1"/>
  <c r="AQ326" i="1"/>
  <c r="AN326" i="1"/>
  <c r="AM326" i="1"/>
  <c r="AJ326" i="1"/>
  <c r="AI326" i="1"/>
  <c r="AF326" i="1"/>
  <c r="AE326" i="1"/>
  <c r="AB326" i="1"/>
  <c r="AA326" i="1"/>
  <c r="X326" i="1"/>
  <c r="W326" i="1"/>
  <c r="T326" i="1"/>
  <c r="S326" i="1"/>
  <c r="P326" i="1"/>
  <c r="O326" i="1"/>
  <c r="L326" i="1"/>
  <c r="K326" i="1"/>
  <c r="H326" i="1"/>
  <c r="G326" i="1"/>
  <c r="D326" i="1"/>
  <c r="C326" i="1"/>
  <c r="CN325" i="1"/>
  <c r="CM325" i="1"/>
  <c r="CJ325" i="1"/>
  <c r="CI325" i="1"/>
  <c r="CF325" i="1"/>
  <c r="CE325" i="1"/>
  <c r="CB325" i="1"/>
  <c r="CA325" i="1"/>
  <c r="BX325" i="1"/>
  <c r="BW325" i="1"/>
  <c r="BT325" i="1"/>
  <c r="BS325" i="1"/>
  <c r="BP325" i="1"/>
  <c r="BO325" i="1"/>
  <c r="BL325" i="1"/>
  <c r="BK325" i="1"/>
  <c r="BH325" i="1"/>
  <c r="BG325" i="1"/>
  <c r="BD325" i="1"/>
  <c r="BC325" i="1"/>
  <c r="AZ325" i="1"/>
  <c r="AY325" i="1"/>
  <c r="AV325" i="1"/>
  <c r="AU325" i="1"/>
  <c r="AR325" i="1"/>
  <c r="AQ325" i="1"/>
  <c r="AN325" i="1"/>
  <c r="AM325" i="1"/>
  <c r="AJ325" i="1"/>
  <c r="AI325" i="1"/>
  <c r="AF325" i="1"/>
  <c r="AE325" i="1"/>
  <c r="AB325" i="1"/>
  <c r="AA325" i="1"/>
  <c r="X325" i="1"/>
  <c r="W325" i="1"/>
  <c r="T325" i="1"/>
  <c r="S325" i="1"/>
  <c r="P325" i="1"/>
  <c r="O325" i="1"/>
  <c r="L325" i="1"/>
  <c r="K325" i="1"/>
  <c r="H325" i="1"/>
  <c r="G325" i="1"/>
  <c r="D325" i="1"/>
  <c r="C325" i="1"/>
  <c r="CN324" i="1"/>
  <c r="CM324" i="1"/>
  <c r="CJ324" i="1"/>
  <c r="CI324" i="1"/>
  <c r="CF324" i="1"/>
  <c r="CE324" i="1"/>
  <c r="CB324" i="1"/>
  <c r="CA324" i="1"/>
  <c r="BX324" i="1"/>
  <c r="BW324" i="1"/>
  <c r="BT324" i="1"/>
  <c r="BS324" i="1"/>
  <c r="BP324" i="1"/>
  <c r="BO324" i="1"/>
  <c r="BL324" i="1"/>
  <c r="BK324" i="1"/>
  <c r="BH324" i="1"/>
  <c r="BG324" i="1"/>
  <c r="BD324" i="1"/>
  <c r="BC324" i="1"/>
  <c r="AZ324" i="1"/>
  <c r="AY324" i="1"/>
  <c r="AV324" i="1"/>
  <c r="AU324" i="1"/>
  <c r="AR324" i="1"/>
  <c r="AQ324" i="1"/>
  <c r="AN324" i="1"/>
  <c r="AM324" i="1"/>
  <c r="AJ324" i="1"/>
  <c r="AI324" i="1"/>
  <c r="AF324" i="1"/>
  <c r="AE324" i="1"/>
  <c r="AB324" i="1"/>
  <c r="AA324" i="1"/>
  <c r="X324" i="1"/>
  <c r="W324" i="1"/>
  <c r="T324" i="1"/>
  <c r="S324" i="1"/>
  <c r="P324" i="1"/>
  <c r="O324" i="1"/>
  <c r="L324" i="1"/>
  <c r="K324" i="1"/>
  <c r="H324" i="1"/>
  <c r="G324" i="1"/>
  <c r="D324" i="1"/>
  <c r="C324" i="1"/>
  <c r="CN323" i="1"/>
  <c r="CM323" i="1"/>
  <c r="CJ323" i="1"/>
  <c r="CI323" i="1"/>
  <c r="CF323" i="1"/>
  <c r="CE323" i="1"/>
  <c r="CB323" i="1"/>
  <c r="CA323" i="1"/>
  <c r="BX323" i="1"/>
  <c r="BW323" i="1"/>
  <c r="BT323" i="1"/>
  <c r="BS323" i="1"/>
  <c r="BP323" i="1"/>
  <c r="BO323" i="1"/>
  <c r="BL323" i="1"/>
  <c r="BK323" i="1"/>
  <c r="BH323" i="1"/>
  <c r="BG323" i="1"/>
  <c r="BD323" i="1"/>
  <c r="BC323" i="1"/>
  <c r="AZ323" i="1"/>
  <c r="AY323" i="1"/>
  <c r="AV323" i="1"/>
  <c r="AU323" i="1"/>
  <c r="AR323" i="1"/>
  <c r="AQ323" i="1"/>
  <c r="AN323" i="1"/>
  <c r="AM323" i="1"/>
  <c r="AJ323" i="1"/>
  <c r="AI323" i="1"/>
  <c r="AF323" i="1"/>
  <c r="AE323" i="1"/>
  <c r="AB323" i="1"/>
  <c r="AA323" i="1"/>
  <c r="X323" i="1"/>
  <c r="W323" i="1"/>
  <c r="T323" i="1"/>
  <c r="S323" i="1"/>
  <c r="P323" i="1"/>
  <c r="O323" i="1"/>
  <c r="L323" i="1"/>
  <c r="K323" i="1"/>
  <c r="H323" i="1"/>
  <c r="G323" i="1"/>
  <c r="D323" i="1"/>
  <c r="C323" i="1"/>
  <c r="CN322" i="1"/>
  <c r="CM322" i="1"/>
  <c r="CJ322" i="1"/>
  <c r="CI322" i="1"/>
  <c r="CF322" i="1"/>
  <c r="CE322" i="1"/>
  <c r="CB322" i="1"/>
  <c r="CA322" i="1"/>
  <c r="BX322" i="1"/>
  <c r="BW322" i="1"/>
  <c r="BT322" i="1"/>
  <c r="BS322" i="1"/>
  <c r="BP322" i="1"/>
  <c r="BO322" i="1"/>
  <c r="BL322" i="1"/>
  <c r="BK322" i="1"/>
  <c r="BH322" i="1"/>
  <c r="BG322" i="1"/>
  <c r="BD322" i="1"/>
  <c r="BC322" i="1"/>
  <c r="AZ322" i="1"/>
  <c r="AY322" i="1"/>
  <c r="AV322" i="1"/>
  <c r="AU322" i="1"/>
  <c r="AR322" i="1"/>
  <c r="AQ322" i="1"/>
  <c r="AN322" i="1"/>
  <c r="AM322" i="1"/>
  <c r="AJ322" i="1"/>
  <c r="AI322" i="1"/>
  <c r="AF322" i="1"/>
  <c r="AE322" i="1"/>
  <c r="AB322" i="1"/>
  <c r="AA322" i="1"/>
  <c r="X322" i="1"/>
  <c r="W322" i="1"/>
  <c r="T322" i="1"/>
  <c r="S322" i="1"/>
  <c r="P322" i="1"/>
  <c r="O322" i="1"/>
  <c r="L322" i="1"/>
  <c r="K322" i="1"/>
  <c r="H322" i="1"/>
  <c r="G322" i="1"/>
  <c r="D322" i="1"/>
  <c r="C322" i="1"/>
  <c r="CN313" i="1"/>
  <c r="CM313" i="1"/>
  <c r="CJ313" i="1"/>
  <c r="CI313" i="1"/>
  <c r="CF313" i="1"/>
  <c r="CE313" i="1"/>
  <c r="CB313" i="1"/>
  <c r="CA313" i="1"/>
  <c r="BX313" i="1"/>
  <c r="BW313" i="1"/>
  <c r="BT313" i="1"/>
  <c r="BS313" i="1"/>
  <c r="BP313" i="1"/>
  <c r="BO313" i="1"/>
  <c r="BL313" i="1"/>
  <c r="BK313" i="1"/>
  <c r="BH313" i="1"/>
  <c r="BG313" i="1"/>
  <c r="BD313" i="1"/>
  <c r="BC313" i="1"/>
  <c r="AZ313" i="1"/>
  <c r="AY313" i="1"/>
  <c r="AV313" i="1"/>
  <c r="AU313" i="1"/>
  <c r="AR313" i="1"/>
  <c r="AQ313" i="1"/>
  <c r="AN313" i="1"/>
  <c r="AM313" i="1"/>
  <c r="AJ313" i="1"/>
  <c r="AI313" i="1"/>
  <c r="AF313" i="1"/>
  <c r="AE313" i="1"/>
  <c r="AB313" i="1"/>
  <c r="AA313" i="1"/>
  <c r="X313" i="1"/>
  <c r="W313" i="1"/>
  <c r="T313" i="1"/>
  <c r="S313" i="1"/>
  <c r="P313" i="1"/>
  <c r="O313" i="1"/>
  <c r="L313" i="1"/>
  <c r="K313" i="1"/>
  <c r="H313" i="1"/>
  <c r="G313" i="1"/>
  <c r="D313" i="1"/>
  <c r="C313" i="1"/>
  <c r="CN312" i="1"/>
  <c r="CM312" i="1"/>
  <c r="CJ312" i="1"/>
  <c r="CI312" i="1"/>
  <c r="CF312" i="1"/>
  <c r="CE312" i="1"/>
  <c r="CB312" i="1"/>
  <c r="CA312" i="1"/>
  <c r="BX312" i="1"/>
  <c r="BW312" i="1"/>
  <c r="BT312" i="1"/>
  <c r="BS312" i="1"/>
  <c r="BP312" i="1"/>
  <c r="BO312" i="1"/>
  <c r="BL312" i="1"/>
  <c r="BK312" i="1"/>
  <c r="BH312" i="1"/>
  <c r="BG312" i="1"/>
  <c r="BD312" i="1"/>
  <c r="BC312" i="1"/>
  <c r="AZ312" i="1"/>
  <c r="AY312" i="1"/>
  <c r="AV312" i="1"/>
  <c r="AU312" i="1"/>
  <c r="AR312" i="1"/>
  <c r="AQ312" i="1"/>
  <c r="AN312" i="1"/>
  <c r="AM312" i="1"/>
  <c r="AJ312" i="1"/>
  <c r="AI312" i="1"/>
  <c r="AF312" i="1"/>
  <c r="AE312" i="1"/>
  <c r="AB312" i="1"/>
  <c r="AA312" i="1"/>
  <c r="X312" i="1"/>
  <c r="W312" i="1"/>
  <c r="T312" i="1"/>
  <c r="S312" i="1"/>
  <c r="P312" i="1"/>
  <c r="O312" i="1"/>
  <c r="L312" i="1"/>
  <c r="K312" i="1"/>
  <c r="H312" i="1"/>
  <c r="G312" i="1"/>
  <c r="D312" i="1"/>
  <c r="C312" i="1"/>
  <c r="CN311" i="1"/>
  <c r="CM311" i="1"/>
  <c r="CJ311" i="1"/>
  <c r="CI311" i="1"/>
  <c r="CF311" i="1"/>
  <c r="CE311" i="1"/>
  <c r="CB311" i="1"/>
  <c r="CA311" i="1"/>
  <c r="BX311" i="1"/>
  <c r="BW311" i="1"/>
  <c r="BT311" i="1"/>
  <c r="BS311" i="1"/>
  <c r="BP311" i="1"/>
  <c r="BO311" i="1"/>
  <c r="BL311" i="1"/>
  <c r="BK311" i="1"/>
  <c r="BH311" i="1"/>
  <c r="BG311" i="1"/>
  <c r="BD311" i="1"/>
  <c r="BC311" i="1"/>
  <c r="AZ311" i="1"/>
  <c r="AY311" i="1"/>
  <c r="AV311" i="1"/>
  <c r="AU311" i="1"/>
  <c r="AR311" i="1"/>
  <c r="AQ311" i="1"/>
  <c r="AN311" i="1"/>
  <c r="AM311" i="1"/>
  <c r="AJ311" i="1"/>
  <c r="AI311" i="1"/>
  <c r="AF311" i="1"/>
  <c r="AE311" i="1"/>
  <c r="AB311" i="1"/>
  <c r="AA311" i="1"/>
  <c r="X311" i="1"/>
  <c r="W311" i="1"/>
  <c r="T311" i="1"/>
  <c r="S311" i="1"/>
  <c r="P311" i="1"/>
  <c r="O311" i="1"/>
  <c r="L311" i="1"/>
  <c r="K311" i="1"/>
  <c r="H311" i="1"/>
  <c r="G311" i="1"/>
  <c r="D311" i="1"/>
  <c r="C311" i="1"/>
  <c r="CN310" i="1"/>
  <c r="CM310" i="1"/>
  <c r="CJ310" i="1"/>
  <c r="CI310" i="1"/>
  <c r="CF310" i="1"/>
  <c r="CE310" i="1"/>
  <c r="CB310" i="1"/>
  <c r="CA310" i="1"/>
  <c r="BX310" i="1"/>
  <c r="BW310" i="1"/>
  <c r="BT310" i="1"/>
  <c r="BS310" i="1"/>
  <c r="BP310" i="1"/>
  <c r="BO310" i="1"/>
  <c r="BL310" i="1"/>
  <c r="BK310" i="1"/>
  <c r="BH310" i="1"/>
  <c r="BG310" i="1"/>
  <c r="BD310" i="1"/>
  <c r="BC310" i="1"/>
  <c r="AZ310" i="1"/>
  <c r="AY310" i="1"/>
  <c r="AV310" i="1"/>
  <c r="AU310" i="1"/>
  <c r="AR310" i="1"/>
  <c r="AQ310" i="1"/>
  <c r="AN310" i="1"/>
  <c r="AM310" i="1"/>
  <c r="AJ310" i="1"/>
  <c r="AI310" i="1"/>
  <c r="AF310" i="1"/>
  <c r="AE310" i="1"/>
  <c r="AB310" i="1"/>
  <c r="AA310" i="1"/>
  <c r="X310" i="1"/>
  <c r="W310" i="1"/>
  <c r="T310" i="1"/>
  <c r="S310" i="1"/>
  <c r="P310" i="1"/>
  <c r="O310" i="1"/>
  <c r="L310" i="1"/>
  <c r="K310" i="1"/>
  <c r="H310" i="1"/>
  <c r="G310" i="1"/>
  <c r="D310" i="1"/>
  <c r="C310" i="1"/>
  <c r="CN309" i="1"/>
  <c r="CM309" i="1"/>
  <c r="CJ309" i="1"/>
  <c r="CI309" i="1"/>
  <c r="CF309" i="1"/>
  <c r="CE309" i="1"/>
  <c r="CB309" i="1"/>
  <c r="CA309" i="1"/>
  <c r="BX309" i="1"/>
  <c r="BW309" i="1"/>
  <c r="BT309" i="1"/>
  <c r="BS309" i="1"/>
  <c r="BP309" i="1"/>
  <c r="BO309" i="1"/>
  <c r="BL309" i="1"/>
  <c r="BK309" i="1"/>
  <c r="BH309" i="1"/>
  <c r="BG309" i="1"/>
  <c r="BD309" i="1"/>
  <c r="BC309" i="1"/>
  <c r="AZ309" i="1"/>
  <c r="AY309" i="1"/>
  <c r="AV309" i="1"/>
  <c r="AU309" i="1"/>
  <c r="AR309" i="1"/>
  <c r="AQ309" i="1"/>
  <c r="AN309" i="1"/>
  <c r="AM309" i="1"/>
  <c r="AJ309" i="1"/>
  <c r="AI309" i="1"/>
  <c r="AF309" i="1"/>
  <c r="AE309" i="1"/>
  <c r="AB309" i="1"/>
  <c r="AA309" i="1"/>
  <c r="X309" i="1"/>
  <c r="W309" i="1"/>
  <c r="T309" i="1"/>
  <c r="S309" i="1"/>
  <c r="P309" i="1"/>
  <c r="O309" i="1"/>
  <c r="L309" i="1"/>
  <c r="K309" i="1"/>
  <c r="H309" i="1"/>
  <c r="G309" i="1"/>
  <c r="D309" i="1"/>
  <c r="C309" i="1"/>
  <c r="CN308" i="1"/>
  <c r="CM308" i="1"/>
  <c r="CJ308" i="1"/>
  <c r="CI308" i="1"/>
  <c r="CF308" i="1"/>
  <c r="CE308" i="1"/>
  <c r="CB308" i="1"/>
  <c r="CA308" i="1"/>
  <c r="BX308" i="1"/>
  <c r="BW308" i="1"/>
  <c r="BT308" i="1"/>
  <c r="BS308" i="1"/>
  <c r="BP308" i="1"/>
  <c r="BO308" i="1"/>
  <c r="BL308" i="1"/>
  <c r="BK308" i="1"/>
  <c r="BH308" i="1"/>
  <c r="BG308" i="1"/>
  <c r="BD308" i="1"/>
  <c r="BC308" i="1"/>
  <c r="AZ308" i="1"/>
  <c r="AY308" i="1"/>
  <c r="AV308" i="1"/>
  <c r="AU308" i="1"/>
  <c r="AR308" i="1"/>
  <c r="AQ308" i="1"/>
  <c r="AN308" i="1"/>
  <c r="AM308" i="1"/>
  <c r="AJ308" i="1"/>
  <c r="AI308" i="1"/>
  <c r="AF308" i="1"/>
  <c r="AE308" i="1"/>
  <c r="AB308" i="1"/>
  <c r="AA308" i="1"/>
  <c r="X308" i="1"/>
  <c r="W308" i="1"/>
  <c r="T308" i="1"/>
  <c r="S308" i="1"/>
  <c r="P308" i="1"/>
  <c r="O308" i="1"/>
  <c r="L308" i="1"/>
  <c r="K308" i="1"/>
  <c r="H308" i="1"/>
  <c r="G308" i="1"/>
  <c r="D308" i="1"/>
  <c r="C308" i="1"/>
  <c r="CN307" i="1"/>
  <c r="CM307" i="1"/>
  <c r="CJ307" i="1"/>
  <c r="CI307" i="1"/>
  <c r="CF307" i="1"/>
  <c r="CE307" i="1"/>
  <c r="CB307" i="1"/>
  <c r="CA307" i="1"/>
  <c r="BX307" i="1"/>
  <c r="BW307" i="1"/>
  <c r="BT307" i="1"/>
  <c r="BS307" i="1"/>
  <c r="BP307" i="1"/>
  <c r="BO307" i="1"/>
  <c r="BL307" i="1"/>
  <c r="BK307" i="1"/>
  <c r="BH307" i="1"/>
  <c r="BG307" i="1"/>
  <c r="BD307" i="1"/>
  <c r="BC307" i="1"/>
  <c r="AZ307" i="1"/>
  <c r="AY307" i="1"/>
  <c r="AV307" i="1"/>
  <c r="AU307" i="1"/>
  <c r="AR307" i="1"/>
  <c r="AQ307" i="1"/>
  <c r="AN307" i="1"/>
  <c r="AM307" i="1"/>
  <c r="AJ307" i="1"/>
  <c r="AI307" i="1"/>
  <c r="AF307" i="1"/>
  <c r="AE307" i="1"/>
  <c r="AB307" i="1"/>
  <c r="AA307" i="1"/>
  <c r="X307" i="1"/>
  <c r="W307" i="1"/>
  <c r="T307" i="1"/>
  <c r="S307" i="1"/>
  <c r="P307" i="1"/>
  <c r="O307" i="1"/>
  <c r="L307" i="1"/>
  <c r="K307" i="1"/>
  <c r="H307" i="1"/>
  <c r="G307" i="1"/>
  <c r="D307" i="1"/>
  <c r="C307" i="1"/>
  <c r="CN300" i="1"/>
  <c r="CM300" i="1"/>
  <c r="CJ300" i="1"/>
  <c r="CI300" i="1"/>
  <c r="CF300" i="1"/>
  <c r="CE300" i="1"/>
  <c r="CB300" i="1"/>
  <c r="CA300" i="1"/>
  <c r="BX300" i="1"/>
  <c r="BW300" i="1"/>
  <c r="BT300" i="1"/>
  <c r="BS300" i="1"/>
  <c r="BP300" i="1"/>
  <c r="BO300" i="1"/>
  <c r="BL300" i="1"/>
  <c r="BK300" i="1"/>
  <c r="BH300" i="1"/>
  <c r="BG300" i="1"/>
  <c r="BD300" i="1"/>
  <c r="BC300" i="1"/>
  <c r="AZ300" i="1"/>
  <c r="AY300" i="1"/>
  <c r="AV300" i="1"/>
  <c r="AU300" i="1"/>
  <c r="AR300" i="1"/>
  <c r="AQ300" i="1"/>
  <c r="AN300" i="1"/>
  <c r="AM300" i="1"/>
  <c r="AJ300" i="1"/>
  <c r="AI300" i="1"/>
  <c r="AF300" i="1"/>
  <c r="AE300" i="1"/>
  <c r="AB300" i="1"/>
  <c r="AA300" i="1"/>
  <c r="X300" i="1"/>
  <c r="W300" i="1"/>
  <c r="T300" i="1"/>
  <c r="S300" i="1"/>
  <c r="P300" i="1"/>
  <c r="O300" i="1"/>
  <c r="L300" i="1"/>
  <c r="K300" i="1"/>
  <c r="H300" i="1"/>
  <c r="G300" i="1"/>
  <c r="D300" i="1"/>
  <c r="C300" i="1"/>
  <c r="CN299" i="1"/>
  <c r="CM299" i="1"/>
  <c r="CJ299" i="1"/>
  <c r="CI299" i="1"/>
  <c r="CF299" i="1"/>
  <c r="CE299" i="1"/>
  <c r="CB299" i="1"/>
  <c r="CA299" i="1"/>
  <c r="BX299" i="1"/>
  <c r="BW299" i="1"/>
  <c r="BT299" i="1"/>
  <c r="BS299" i="1"/>
  <c r="BP299" i="1"/>
  <c r="BO299" i="1"/>
  <c r="BL299" i="1"/>
  <c r="BK299" i="1"/>
  <c r="BH299" i="1"/>
  <c r="BG299" i="1"/>
  <c r="BD299" i="1"/>
  <c r="BC299" i="1"/>
  <c r="AZ299" i="1"/>
  <c r="AY299" i="1"/>
  <c r="AV299" i="1"/>
  <c r="AU299" i="1"/>
  <c r="AR299" i="1"/>
  <c r="AQ299" i="1"/>
  <c r="AN299" i="1"/>
  <c r="AM299" i="1"/>
  <c r="AJ299" i="1"/>
  <c r="AI299" i="1"/>
  <c r="AF299" i="1"/>
  <c r="AE299" i="1"/>
  <c r="AB299" i="1"/>
  <c r="AA299" i="1"/>
  <c r="X299" i="1"/>
  <c r="W299" i="1"/>
  <c r="T299" i="1"/>
  <c r="S299" i="1"/>
  <c r="P299" i="1"/>
  <c r="O299" i="1"/>
  <c r="L299" i="1"/>
  <c r="K299" i="1"/>
  <c r="H299" i="1"/>
  <c r="G299" i="1"/>
  <c r="D299" i="1"/>
  <c r="C299" i="1"/>
  <c r="CN298" i="1"/>
  <c r="CM298" i="1"/>
  <c r="CJ298" i="1"/>
  <c r="CI298" i="1"/>
  <c r="CF298" i="1"/>
  <c r="CE298" i="1"/>
  <c r="CB298" i="1"/>
  <c r="CA298" i="1"/>
  <c r="BX298" i="1"/>
  <c r="BW298" i="1"/>
  <c r="BT298" i="1"/>
  <c r="BS298" i="1"/>
  <c r="BP298" i="1"/>
  <c r="BO298" i="1"/>
  <c r="BL298" i="1"/>
  <c r="BK298" i="1"/>
  <c r="BH298" i="1"/>
  <c r="BG298" i="1"/>
  <c r="BD298" i="1"/>
  <c r="BC298" i="1"/>
  <c r="AZ298" i="1"/>
  <c r="AY298" i="1"/>
  <c r="AV298" i="1"/>
  <c r="AU298" i="1"/>
  <c r="AR298" i="1"/>
  <c r="AQ298" i="1"/>
  <c r="AN298" i="1"/>
  <c r="AM298" i="1"/>
  <c r="AJ298" i="1"/>
  <c r="AI298" i="1"/>
  <c r="AF298" i="1"/>
  <c r="AE298" i="1"/>
  <c r="AB298" i="1"/>
  <c r="AA298" i="1"/>
  <c r="X298" i="1"/>
  <c r="W298" i="1"/>
  <c r="T298" i="1"/>
  <c r="S298" i="1"/>
  <c r="P298" i="1"/>
  <c r="O298" i="1"/>
  <c r="L298" i="1"/>
  <c r="K298" i="1"/>
  <c r="H298" i="1"/>
  <c r="G298" i="1"/>
  <c r="D298" i="1"/>
  <c r="C298" i="1"/>
  <c r="CN297" i="1"/>
  <c r="CM297" i="1"/>
  <c r="CJ297" i="1"/>
  <c r="CI297" i="1"/>
  <c r="CF297" i="1"/>
  <c r="CE297" i="1"/>
  <c r="CB297" i="1"/>
  <c r="CA297" i="1"/>
  <c r="BX297" i="1"/>
  <c r="BW297" i="1"/>
  <c r="BT297" i="1"/>
  <c r="BS297" i="1"/>
  <c r="BP297" i="1"/>
  <c r="BO297" i="1"/>
  <c r="BL297" i="1"/>
  <c r="BK297" i="1"/>
  <c r="BH297" i="1"/>
  <c r="BG297" i="1"/>
  <c r="BD297" i="1"/>
  <c r="BC297" i="1"/>
  <c r="AZ297" i="1"/>
  <c r="AY297" i="1"/>
  <c r="AV297" i="1"/>
  <c r="AU297" i="1"/>
  <c r="AR297" i="1"/>
  <c r="AQ297" i="1"/>
  <c r="AN297" i="1"/>
  <c r="AM297" i="1"/>
  <c r="AJ297" i="1"/>
  <c r="AI297" i="1"/>
  <c r="AF297" i="1"/>
  <c r="AE297" i="1"/>
  <c r="AB297" i="1"/>
  <c r="AA297" i="1"/>
  <c r="X297" i="1"/>
  <c r="W297" i="1"/>
  <c r="T297" i="1"/>
  <c r="S297" i="1"/>
  <c r="P297" i="1"/>
  <c r="O297" i="1"/>
  <c r="L297" i="1"/>
  <c r="K297" i="1"/>
  <c r="H297" i="1"/>
  <c r="G297" i="1"/>
  <c r="D297" i="1"/>
  <c r="C297" i="1"/>
  <c r="CN296" i="1"/>
  <c r="CM296" i="1"/>
  <c r="CJ296" i="1"/>
  <c r="CI296" i="1"/>
  <c r="CF296" i="1"/>
  <c r="CE296" i="1"/>
  <c r="CB296" i="1"/>
  <c r="CA296" i="1"/>
  <c r="BX296" i="1"/>
  <c r="BW296" i="1"/>
  <c r="BT296" i="1"/>
  <c r="BS296" i="1"/>
  <c r="BP296" i="1"/>
  <c r="BO296" i="1"/>
  <c r="BL296" i="1"/>
  <c r="BK296" i="1"/>
  <c r="BH296" i="1"/>
  <c r="BG296" i="1"/>
  <c r="BD296" i="1"/>
  <c r="BC296" i="1"/>
  <c r="AZ296" i="1"/>
  <c r="AY296" i="1"/>
  <c r="AV296" i="1"/>
  <c r="AU296" i="1"/>
  <c r="AR296" i="1"/>
  <c r="AQ296" i="1"/>
  <c r="AN296" i="1"/>
  <c r="AM296" i="1"/>
  <c r="AJ296" i="1"/>
  <c r="AI296" i="1"/>
  <c r="AF296" i="1"/>
  <c r="AE296" i="1"/>
  <c r="AB296" i="1"/>
  <c r="AA296" i="1"/>
  <c r="X296" i="1"/>
  <c r="W296" i="1"/>
  <c r="T296" i="1"/>
  <c r="S296" i="1"/>
  <c r="P296" i="1"/>
  <c r="O296" i="1"/>
  <c r="L296" i="1"/>
  <c r="K296" i="1"/>
  <c r="H296" i="1"/>
  <c r="G296" i="1"/>
  <c r="D296" i="1"/>
  <c r="C296" i="1"/>
  <c r="CN295" i="1"/>
  <c r="CM295" i="1"/>
  <c r="CJ295" i="1"/>
  <c r="CI295" i="1"/>
  <c r="CF295" i="1"/>
  <c r="CE295" i="1"/>
  <c r="CB295" i="1"/>
  <c r="CA295" i="1"/>
  <c r="BX295" i="1"/>
  <c r="BW295" i="1"/>
  <c r="BT295" i="1"/>
  <c r="BS295" i="1"/>
  <c r="BP295" i="1"/>
  <c r="BO295" i="1"/>
  <c r="BL295" i="1"/>
  <c r="BK295" i="1"/>
  <c r="BH295" i="1"/>
  <c r="BG295" i="1"/>
  <c r="BD295" i="1"/>
  <c r="BC295" i="1"/>
  <c r="AZ295" i="1"/>
  <c r="AY295" i="1"/>
  <c r="AV295" i="1"/>
  <c r="AU295" i="1"/>
  <c r="AR295" i="1"/>
  <c r="AQ295" i="1"/>
  <c r="AN295" i="1"/>
  <c r="AM295" i="1"/>
  <c r="AJ295" i="1"/>
  <c r="AI295" i="1"/>
  <c r="AF295" i="1"/>
  <c r="AE295" i="1"/>
  <c r="AB295" i="1"/>
  <c r="AA295" i="1"/>
  <c r="X295" i="1"/>
  <c r="W295" i="1"/>
  <c r="T295" i="1"/>
  <c r="S295" i="1"/>
  <c r="P295" i="1"/>
  <c r="O295" i="1"/>
  <c r="L295" i="1"/>
  <c r="K295" i="1"/>
  <c r="H295" i="1"/>
  <c r="G295" i="1"/>
  <c r="D295" i="1"/>
  <c r="C295" i="1"/>
  <c r="CN294" i="1"/>
  <c r="CM294" i="1"/>
  <c r="CJ294" i="1"/>
  <c r="CI294" i="1"/>
  <c r="CF294" i="1"/>
  <c r="CE294" i="1"/>
  <c r="CB294" i="1"/>
  <c r="CA294" i="1"/>
  <c r="BX294" i="1"/>
  <c r="BW294" i="1"/>
  <c r="BT294" i="1"/>
  <c r="BS294" i="1"/>
  <c r="BP294" i="1"/>
  <c r="BO294" i="1"/>
  <c r="BL294" i="1"/>
  <c r="BK294" i="1"/>
  <c r="BH294" i="1"/>
  <c r="BG294" i="1"/>
  <c r="BD294" i="1"/>
  <c r="BC294" i="1"/>
  <c r="AZ294" i="1"/>
  <c r="AY294" i="1"/>
  <c r="AV294" i="1"/>
  <c r="AU294" i="1"/>
  <c r="AR294" i="1"/>
  <c r="AQ294" i="1"/>
  <c r="AN294" i="1"/>
  <c r="AM294" i="1"/>
  <c r="AJ294" i="1"/>
  <c r="AI294" i="1"/>
  <c r="AF294" i="1"/>
  <c r="AE294" i="1"/>
  <c r="AB294" i="1"/>
  <c r="AA294" i="1"/>
  <c r="X294" i="1"/>
  <c r="W294" i="1"/>
  <c r="T294" i="1"/>
  <c r="S294" i="1"/>
  <c r="P294" i="1"/>
  <c r="O294" i="1"/>
  <c r="L294" i="1"/>
  <c r="K294" i="1"/>
  <c r="H294" i="1"/>
  <c r="G294" i="1"/>
  <c r="D294" i="1"/>
  <c r="C294" i="1"/>
  <c r="CN287" i="1"/>
  <c r="CM287" i="1"/>
  <c r="CJ287" i="1"/>
  <c r="CI287" i="1"/>
  <c r="CF287" i="1"/>
  <c r="CE287" i="1"/>
  <c r="CB287" i="1"/>
  <c r="CA287" i="1"/>
  <c r="BX287" i="1"/>
  <c r="BW287" i="1"/>
  <c r="BT287" i="1"/>
  <c r="BS287" i="1"/>
  <c r="BP287" i="1"/>
  <c r="BO287" i="1"/>
  <c r="BL287" i="1"/>
  <c r="BK287" i="1"/>
  <c r="BH287" i="1"/>
  <c r="BG287" i="1"/>
  <c r="BD287" i="1"/>
  <c r="BC287" i="1"/>
  <c r="AZ287" i="1"/>
  <c r="AY287" i="1"/>
  <c r="AV287" i="1"/>
  <c r="AU287" i="1"/>
  <c r="AR287" i="1"/>
  <c r="AQ287" i="1"/>
  <c r="AN287" i="1"/>
  <c r="AM287" i="1"/>
  <c r="AJ287" i="1"/>
  <c r="AI287" i="1"/>
  <c r="AF287" i="1"/>
  <c r="AE287" i="1"/>
  <c r="AB287" i="1"/>
  <c r="AA287" i="1"/>
  <c r="X287" i="1"/>
  <c r="W287" i="1"/>
  <c r="T287" i="1"/>
  <c r="S287" i="1"/>
  <c r="P287" i="1"/>
  <c r="O287" i="1"/>
  <c r="L287" i="1"/>
  <c r="K287" i="1"/>
  <c r="H287" i="1"/>
  <c r="G287" i="1"/>
  <c r="D287" i="1"/>
  <c r="C287" i="1"/>
  <c r="CN286" i="1"/>
  <c r="CM286" i="1"/>
  <c r="CJ286" i="1"/>
  <c r="CI286" i="1"/>
  <c r="CF286" i="1"/>
  <c r="CE286" i="1"/>
  <c r="CB286" i="1"/>
  <c r="CA286" i="1"/>
  <c r="BX286" i="1"/>
  <c r="BW286" i="1"/>
  <c r="BT286" i="1"/>
  <c r="BS286" i="1"/>
  <c r="BP286" i="1"/>
  <c r="BO286" i="1"/>
  <c r="BL286" i="1"/>
  <c r="BK286" i="1"/>
  <c r="BH286" i="1"/>
  <c r="BG286" i="1"/>
  <c r="BD286" i="1"/>
  <c r="BC286" i="1"/>
  <c r="AZ286" i="1"/>
  <c r="AY286" i="1"/>
  <c r="AV286" i="1"/>
  <c r="AU286" i="1"/>
  <c r="AR286" i="1"/>
  <c r="AQ286" i="1"/>
  <c r="AN286" i="1"/>
  <c r="AM286" i="1"/>
  <c r="AJ286" i="1"/>
  <c r="AI286" i="1"/>
  <c r="AF286" i="1"/>
  <c r="AE286" i="1"/>
  <c r="AB286" i="1"/>
  <c r="AA286" i="1"/>
  <c r="X286" i="1"/>
  <c r="W286" i="1"/>
  <c r="T286" i="1"/>
  <c r="S286" i="1"/>
  <c r="P286" i="1"/>
  <c r="O286" i="1"/>
  <c r="L286" i="1"/>
  <c r="K286" i="1"/>
  <c r="H286" i="1"/>
  <c r="G286" i="1"/>
  <c r="D286" i="1"/>
  <c r="C286" i="1"/>
  <c r="CN285" i="1"/>
  <c r="CM285" i="1"/>
  <c r="CJ285" i="1"/>
  <c r="CI285" i="1"/>
  <c r="CF285" i="1"/>
  <c r="CE285" i="1"/>
  <c r="CB285" i="1"/>
  <c r="CA285" i="1"/>
  <c r="BX285" i="1"/>
  <c r="BW285" i="1"/>
  <c r="BT285" i="1"/>
  <c r="BS285" i="1"/>
  <c r="BP285" i="1"/>
  <c r="BO285" i="1"/>
  <c r="BL285" i="1"/>
  <c r="BK285" i="1"/>
  <c r="BH285" i="1"/>
  <c r="BG285" i="1"/>
  <c r="BD285" i="1"/>
  <c r="BC285" i="1"/>
  <c r="AZ285" i="1"/>
  <c r="AY285" i="1"/>
  <c r="AV285" i="1"/>
  <c r="AU285" i="1"/>
  <c r="AR285" i="1"/>
  <c r="AQ285" i="1"/>
  <c r="AN285" i="1"/>
  <c r="AM285" i="1"/>
  <c r="AJ285" i="1"/>
  <c r="AI285" i="1"/>
  <c r="AF285" i="1"/>
  <c r="AE285" i="1"/>
  <c r="AB285" i="1"/>
  <c r="AA285" i="1"/>
  <c r="X285" i="1"/>
  <c r="W285" i="1"/>
  <c r="T285" i="1"/>
  <c r="S285" i="1"/>
  <c r="P285" i="1"/>
  <c r="O285" i="1"/>
  <c r="L285" i="1"/>
  <c r="K285" i="1"/>
  <c r="H285" i="1"/>
  <c r="G285" i="1"/>
  <c r="D285" i="1"/>
  <c r="C285" i="1"/>
  <c r="CN284" i="1"/>
  <c r="CM284" i="1"/>
  <c r="CJ284" i="1"/>
  <c r="CI284" i="1"/>
  <c r="CF284" i="1"/>
  <c r="CE284" i="1"/>
  <c r="CB284" i="1"/>
  <c r="CA284" i="1"/>
  <c r="BX284" i="1"/>
  <c r="BW284" i="1"/>
  <c r="BT284" i="1"/>
  <c r="BS284" i="1"/>
  <c r="BP284" i="1"/>
  <c r="BO284" i="1"/>
  <c r="BL284" i="1"/>
  <c r="BK284" i="1"/>
  <c r="BH284" i="1"/>
  <c r="BG284" i="1"/>
  <c r="BD284" i="1"/>
  <c r="BC284" i="1"/>
  <c r="AZ284" i="1"/>
  <c r="AY284" i="1"/>
  <c r="AV284" i="1"/>
  <c r="AU284" i="1"/>
  <c r="AR284" i="1"/>
  <c r="AQ284" i="1"/>
  <c r="AN284" i="1"/>
  <c r="AM284" i="1"/>
  <c r="AJ284" i="1"/>
  <c r="AI284" i="1"/>
  <c r="AF284" i="1"/>
  <c r="AE284" i="1"/>
  <c r="AB284" i="1"/>
  <c r="AA284" i="1"/>
  <c r="X284" i="1"/>
  <c r="W284" i="1"/>
  <c r="T284" i="1"/>
  <c r="S284" i="1"/>
  <c r="P284" i="1"/>
  <c r="O284" i="1"/>
  <c r="L284" i="1"/>
  <c r="K284" i="1"/>
  <c r="H284" i="1"/>
  <c r="G284" i="1"/>
  <c r="D284" i="1"/>
  <c r="C284" i="1"/>
  <c r="CN283" i="1"/>
  <c r="CM283" i="1"/>
  <c r="CJ283" i="1"/>
  <c r="CI283" i="1"/>
  <c r="CF283" i="1"/>
  <c r="CE283" i="1"/>
  <c r="CB283" i="1"/>
  <c r="CA283" i="1"/>
  <c r="BX283" i="1"/>
  <c r="BW283" i="1"/>
  <c r="BT283" i="1"/>
  <c r="BS283" i="1"/>
  <c r="BP283" i="1"/>
  <c r="BO283" i="1"/>
  <c r="BL283" i="1"/>
  <c r="BK283" i="1"/>
  <c r="BH283" i="1"/>
  <c r="BG283" i="1"/>
  <c r="BD283" i="1"/>
  <c r="BC283" i="1"/>
  <c r="AZ283" i="1"/>
  <c r="AY283" i="1"/>
  <c r="AV283" i="1"/>
  <c r="AU283" i="1"/>
  <c r="AR283" i="1"/>
  <c r="AQ283" i="1"/>
  <c r="AN283" i="1"/>
  <c r="AM283" i="1"/>
  <c r="AJ283" i="1"/>
  <c r="AI283" i="1"/>
  <c r="AF283" i="1"/>
  <c r="AE283" i="1"/>
  <c r="AB283" i="1"/>
  <c r="AA283" i="1"/>
  <c r="X283" i="1"/>
  <c r="W283" i="1"/>
  <c r="T283" i="1"/>
  <c r="S283" i="1"/>
  <c r="P283" i="1"/>
  <c r="O283" i="1"/>
  <c r="L283" i="1"/>
  <c r="K283" i="1"/>
  <c r="H283" i="1"/>
  <c r="G283" i="1"/>
  <c r="D283" i="1"/>
  <c r="C283" i="1"/>
  <c r="CN276" i="1"/>
  <c r="CM276" i="1"/>
  <c r="CJ276" i="1"/>
  <c r="CI276" i="1"/>
  <c r="CF276" i="1"/>
  <c r="CE276" i="1"/>
  <c r="CB276" i="1"/>
  <c r="CA276" i="1"/>
  <c r="BX276" i="1"/>
  <c r="BW276" i="1"/>
  <c r="BT276" i="1"/>
  <c r="BS276" i="1"/>
  <c r="BP276" i="1"/>
  <c r="BO276" i="1"/>
  <c r="BL276" i="1"/>
  <c r="BK276" i="1"/>
  <c r="BH276" i="1"/>
  <c r="BG276" i="1"/>
  <c r="BD276" i="1"/>
  <c r="BC276" i="1"/>
  <c r="AZ276" i="1"/>
  <c r="AY276" i="1"/>
  <c r="AV276" i="1"/>
  <c r="AU276" i="1"/>
  <c r="AR276" i="1"/>
  <c r="AQ276" i="1"/>
  <c r="AN276" i="1"/>
  <c r="AM276" i="1"/>
  <c r="AJ276" i="1"/>
  <c r="AI276" i="1"/>
  <c r="AF276" i="1"/>
  <c r="AE276" i="1"/>
  <c r="AB276" i="1"/>
  <c r="AA276" i="1"/>
  <c r="X276" i="1"/>
  <c r="W276" i="1"/>
  <c r="T276" i="1"/>
  <c r="S276" i="1"/>
  <c r="P276" i="1"/>
  <c r="O276" i="1"/>
  <c r="L276" i="1"/>
  <c r="K276" i="1"/>
  <c r="H276" i="1"/>
  <c r="G276" i="1"/>
  <c r="D276" i="1"/>
  <c r="C276" i="1"/>
  <c r="CN275" i="1"/>
  <c r="CM275" i="1"/>
  <c r="CJ275" i="1"/>
  <c r="CI275" i="1"/>
  <c r="CF275" i="1"/>
  <c r="CE275" i="1"/>
  <c r="CB275" i="1"/>
  <c r="CA275" i="1"/>
  <c r="BX275" i="1"/>
  <c r="BW275" i="1"/>
  <c r="BT275" i="1"/>
  <c r="BS275" i="1"/>
  <c r="BP275" i="1"/>
  <c r="BO275" i="1"/>
  <c r="BL275" i="1"/>
  <c r="BK275" i="1"/>
  <c r="BH275" i="1"/>
  <c r="BG275" i="1"/>
  <c r="BD275" i="1"/>
  <c r="BC275" i="1"/>
  <c r="AZ275" i="1"/>
  <c r="AY275" i="1"/>
  <c r="AV275" i="1"/>
  <c r="AU275" i="1"/>
  <c r="AR275" i="1"/>
  <c r="AQ275" i="1"/>
  <c r="AN275" i="1"/>
  <c r="AM275" i="1"/>
  <c r="AJ275" i="1"/>
  <c r="AI275" i="1"/>
  <c r="AF275" i="1"/>
  <c r="AE275" i="1"/>
  <c r="AB275" i="1"/>
  <c r="AA275" i="1"/>
  <c r="X275" i="1"/>
  <c r="W275" i="1"/>
  <c r="T275" i="1"/>
  <c r="S275" i="1"/>
  <c r="P275" i="1"/>
  <c r="O275" i="1"/>
  <c r="L275" i="1"/>
  <c r="K275" i="1"/>
  <c r="H275" i="1"/>
  <c r="G275" i="1"/>
  <c r="D275" i="1"/>
  <c r="C275" i="1"/>
  <c r="CN268" i="1"/>
  <c r="CM268" i="1"/>
  <c r="CJ268" i="1"/>
  <c r="CI268" i="1"/>
  <c r="CF268" i="1"/>
  <c r="CE268" i="1"/>
  <c r="CB268" i="1"/>
  <c r="CA268" i="1"/>
  <c r="BX268" i="1"/>
  <c r="BW268" i="1"/>
  <c r="BT268" i="1"/>
  <c r="BS268" i="1"/>
  <c r="BP268" i="1"/>
  <c r="BO268" i="1"/>
  <c r="BL268" i="1"/>
  <c r="BK268" i="1"/>
  <c r="BH268" i="1"/>
  <c r="BG268" i="1"/>
  <c r="BD268" i="1"/>
  <c r="BC268" i="1"/>
  <c r="AZ268" i="1"/>
  <c r="AY268" i="1"/>
  <c r="AV268" i="1"/>
  <c r="AU268" i="1"/>
  <c r="AR268" i="1"/>
  <c r="AQ268" i="1"/>
  <c r="AN268" i="1"/>
  <c r="AM268" i="1"/>
  <c r="AJ268" i="1"/>
  <c r="AI268" i="1"/>
  <c r="AF268" i="1"/>
  <c r="AE268" i="1"/>
  <c r="AB268" i="1"/>
  <c r="AA268" i="1"/>
  <c r="X268" i="1"/>
  <c r="W268" i="1"/>
  <c r="T268" i="1"/>
  <c r="S268" i="1"/>
  <c r="P268" i="1"/>
  <c r="O268" i="1"/>
  <c r="L268" i="1"/>
  <c r="K268" i="1"/>
  <c r="H268" i="1"/>
  <c r="G268" i="1"/>
  <c r="D268" i="1"/>
  <c r="C268" i="1"/>
  <c r="CN267" i="1"/>
  <c r="CM267" i="1"/>
  <c r="CJ267" i="1"/>
  <c r="CI267" i="1"/>
  <c r="CF267" i="1"/>
  <c r="CE267" i="1"/>
  <c r="CB267" i="1"/>
  <c r="CA267" i="1"/>
  <c r="BX267" i="1"/>
  <c r="BW267" i="1"/>
  <c r="BT267" i="1"/>
  <c r="BS267" i="1"/>
  <c r="BP267" i="1"/>
  <c r="BO267" i="1"/>
  <c r="BL267" i="1"/>
  <c r="BK267" i="1"/>
  <c r="BH267" i="1"/>
  <c r="BG267" i="1"/>
  <c r="BD267" i="1"/>
  <c r="BC267" i="1"/>
  <c r="AZ267" i="1"/>
  <c r="AY267" i="1"/>
  <c r="AV267" i="1"/>
  <c r="AU267" i="1"/>
  <c r="AR267" i="1"/>
  <c r="AQ267" i="1"/>
  <c r="AN267" i="1"/>
  <c r="AM267" i="1"/>
  <c r="AJ267" i="1"/>
  <c r="AI267" i="1"/>
  <c r="AF267" i="1"/>
  <c r="AE267" i="1"/>
  <c r="AB267" i="1"/>
  <c r="AA267" i="1"/>
  <c r="X267" i="1"/>
  <c r="W267" i="1"/>
  <c r="T267" i="1"/>
  <c r="S267" i="1"/>
  <c r="P267" i="1"/>
  <c r="O267" i="1"/>
  <c r="L267" i="1"/>
  <c r="K267" i="1"/>
  <c r="H267" i="1"/>
  <c r="G267" i="1"/>
  <c r="D267" i="1"/>
  <c r="C267" i="1"/>
  <c r="CN266" i="1"/>
  <c r="CM266" i="1"/>
  <c r="CJ266" i="1"/>
  <c r="CI266" i="1"/>
  <c r="CF266" i="1"/>
  <c r="CE266" i="1"/>
  <c r="CB266" i="1"/>
  <c r="CA266" i="1"/>
  <c r="BX266" i="1"/>
  <c r="BW266" i="1"/>
  <c r="BT266" i="1"/>
  <c r="BS266" i="1"/>
  <c r="BP266" i="1"/>
  <c r="BO266" i="1"/>
  <c r="BL266" i="1"/>
  <c r="BK266" i="1"/>
  <c r="BH266" i="1"/>
  <c r="BG266" i="1"/>
  <c r="BD266" i="1"/>
  <c r="BC266" i="1"/>
  <c r="AZ266" i="1"/>
  <c r="AY266" i="1"/>
  <c r="AV266" i="1"/>
  <c r="AU266" i="1"/>
  <c r="AR266" i="1"/>
  <c r="AQ266" i="1"/>
  <c r="AN266" i="1"/>
  <c r="AM266" i="1"/>
  <c r="AJ266" i="1"/>
  <c r="AI266" i="1"/>
  <c r="AF266" i="1"/>
  <c r="AE266" i="1"/>
  <c r="AB266" i="1"/>
  <c r="AA266" i="1"/>
  <c r="X266" i="1"/>
  <c r="W266" i="1"/>
  <c r="T266" i="1"/>
  <c r="S266" i="1"/>
  <c r="P266" i="1"/>
  <c r="O266" i="1"/>
  <c r="L266" i="1"/>
  <c r="K266" i="1"/>
  <c r="H266" i="1"/>
  <c r="G266" i="1"/>
  <c r="D266" i="1"/>
  <c r="C266" i="1"/>
  <c r="CN265" i="1"/>
  <c r="CM265" i="1"/>
  <c r="CJ265" i="1"/>
  <c r="CI265" i="1"/>
  <c r="CF265" i="1"/>
  <c r="CE265" i="1"/>
  <c r="CB265" i="1"/>
  <c r="CA265" i="1"/>
  <c r="BX265" i="1"/>
  <c r="BW265" i="1"/>
  <c r="BT265" i="1"/>
  <c r="BS265" i="1"/>
  <c r="BP265" i="1"/>
  <c r="BO265" i="1"/>
  <c r="BL265" i="1"/>
  <c r="BK265" i="1"/>
  <c r="BH265" i="1"/>
  <c r="BG265" i="1"/>
  <c r="BD265" i="1"/>
  <c r="BC265" i="1"/>
  <c r="AZ265" i="1"/>
  <c r="AY265" i="1"/>
  <c r="AV265" i="1"/>
  <c r="AU265" i="1"/>
  <c r="AR265" i="1"/>
  <c r="AQ265" i="1"/>
  <c r="AN265" i="1"/>
  <c r="AM265" i="1"/>
  <c r="AJ265" i="1"/>
  <c r="AI265" i="1"/>
  <c r="AF265" i="1"/>
  <c r="AE265" i="1"/>
  <c r="AB265" i="1"/>
  <c r="AA265" i="1"/>
  <c r="X265" i="1"/>
  <c r="W265" i="1"/>
  <c r="T265" i="1"/>
  <c r="S265" i="1"/>
  <c r="P265" i="1"/>
  <c r="O265" i="1"/>
  <c r="L265" i="1"/>
  <c r="K265" i="1"/>
  <c r="H265" i="1"/>
  <c r="G265" i="1"/>
  <c r="D265" i="1"/>
  <c r="C265" i="1"/>
  <c r="CN264" i="1"/>
  <c r="CM264" i="1"/>
  <c r="CJ264" i="1"/>
  <c r="CI264" i="1"/>
  <c r="CF264" i="1"/>
  <c r="CE264" i="1"/>
  <c r="CB264" i="1"/>
  <c r="CA264" i="1"/>
  <c r="BX264" i="1"/>
  <c r="BW264" i="1"/>
  <c r="BT264" i="1"/>
  <c r="BS264" i="1"/>
  <c r="BP264" i="1"/>
  <c r="BO264" i="1"/>
  <c r="BL264" i="1"/>
  <c r="BK264" i="1"/>
  <c r="BH264" i="1"/>
  <c r="BG264" i="1"/>
  <c r="BD264" i="1"/>
  <c r="BC264" i="1"/>
  <c r="AZ264" i="1"/>
  <c r="AY264" i="1"/>
  <c r="AV264" i="1"/>
  <c r="AU264" i="1"/>
  <c r="AR264" i="1"/>
  <c r="AQ264" i="1"/>
  <c r="AN264" i="1"/>
  <c r="AM264" i="1"/>
  <c r="AJ264" i="1"/>
  <c r="AI264" i="1"/>
  <c r="AF264" i="1"/>
  <c r="AE264" i="1"/>
  <c r="AB264" i="1"/>
  <c r="AA264" i="1"/>
  <c r="X264" i="1"/>
  <c r="W264" i="1"/>
  <c r="T264" i="1"/>
  <c r="S264" i="1"/>
  <c r="P264" i="1"/>
  <c r="O264" i="1"/>
  <c r="L264" i="1"/>
  <c r="K264" i="1"/>
  <c r="H264" i="1"/>
  <c r="G264" i="1"/>
  <c r="D264" i="1"/>
  <c r="C264" i="1"/>
  <c r="CN263" i="1"/>
  <c r="CM263" i="1"/>
  <c r="CJ263" i="1"/>
  <c r="CI263" i="1"/>
  <c r="CF263" i="1"/>
  <c r="CE263" i="1"/>
  <c r="CB263" i="1"/>
  <c r="CA263" i="1"/>
  <c r="BX263" i="1"/>
  <c r="BW263" i="1"/>
  <c r="BT263" i="1"/>
  <c r="BS263" i="1"/>
  <c r="BP263" i="1"/>
  <c r="BO263" i="1"/>
  <c r="BL263" i="1"/>
  <c r="BK263" i="1"/>
  <c r="BH263" i="1"/>
  <c r="BG263" i="1"/>
  <c r="BD263" i="1"/>
  <c r="BC263" i="1"/>
  <c r="AZ263" i="1"/>
  <c r="AY263" i="1"/>
  <c r="AV263" i="1"/>
  <c r="AU263" i="1"/>
  <c r="AR263" i="1"/>
  <c r="AQ263" i="1"/>
  <c r="AN263" i="1"/>
  <c r="AM263" i="1"/>
  <c r="AJ263" i="1"/>
  <c r="AI263" i="1"/>
  <c r="AF263" i="1"/>
  <c r="AE263" i="1"/>
  <c r="AB263" i="1"/>
  <c r="AA263" i="1"/>
  <c r="X263" i="1"/>
  <c r="W263" i="1"/>
  <c r="T263" i="1"/>
  <c r="S263" i="1"/>
  <c r="P263" i="1"/>
  <c r="O263" i="1"/>
  <c r="L263" i="1"/>
  <c r="K263" i="1"/>
  <c r="H263" i="1"/>
  <c r="G263" i="1"/>
  <c r="D263" i="1"/>
  <c r="C263" i="1"/>
  <c r="CN262" i="1"/>
  <c r="CM262" i="1"/>
  <c r="CJ262" i="1"/>
  <c r="CI262" i="1"/>
  <c r="CF262" i="1"/>
  <c r="CE262" i="1"/>
  <c r="CB262" i="1"/>
  <c r="CA262" i="1"/>
  <c r="BX262" i="1"/>
  <c r="BW262" i="1"/>
  <c r="BT262" i="1"/>
  <c r="BS262" i="1"/>
  <c r="BP262" i="1"/>
  <c r="BO262" i="1"/>
  <c r="BL262" i="1"/>
  <c r="BK262" i="1"/>
  <c r="BH262" i="1"/>
  <c r="BG262" i="1"/>
  <c r="BD262" i="1"/>
  <c r="BC262" i="1"/>
  <c r="AZ262" i="1"/>
  <c r="AY262" i="1"/>
  <c r="AV262" i="1"/>
  <c r="AU262" i="1"/>
  <c r="AR262" i="1"/>
  <c r="AQ262" i="1"/>
  <c r="AN262" i="1"/>
  <c r="AM262" i="1"/>
  <c r="AJ262" i="1"/>
  <c r="AI262" i="1"/>
  <c r="AF262" i="1"/>
  <c r="AE262" i="1"/>
  <c r="AB262" i="1"/>
  <c r="AA262" i="1"/>
  <c r="X262" i="1"/>
  <c r="W262" i="1"/>
  <c r="T262" i="1"/>
  <c r="S262" i="1"/>
  <c r="P262" i="1"/>
  <c r="O262" i="1"/>
  <c r="L262" i="1"/>
  <c r="K262" i="1"/>
  <c r="H262" i="1"/>
  <c r="G262" i="1"/>
  <c r="D262" i="1"/>
  <c r="C262" i="1"/>
  <c r="CN261" i="1"/>
  <c r="CM261" i="1"/>
  <c r="CJ261" i="1"/>
  <c r="CI261" i="1"/>
  <c r="CF261" i="1"/>
  <c r="CE261" i="1"/>
  <c r="CB261" i="1"/>
  <c r="CA261" i="1"/>
  <c r="BX261" i="1"/>
  <c r="BW261" i="1"/>
  <c r="BT261" i="1"/>
  <c r="BS261" i="1"/>
  <c r="BP261" i="1"/>
  <c r="BO261" i="1"/>
  <c r="BL261" i="1"/>
  <c r="BK261" i="1"/>
  <c r="BH261" i="1"/>
  <c r="BG261" i="1"/>
  <c r="BD261" i="1"/>
  <c r="BC261" i="1"/>
  <c r="AZ261" i="1"/>
  <c r="AY261" i="1"/>
  <c r="AV261" i="1"/>
  <c r="AU261" i="1"/>
  <c r="AR261" i="1"/>
  <c r="AQ261" i="1"/>
  <c r="AN261" i="1"/>
  <c r="AM261" i="1"/>
  <c r="AJ261" i="1"/>
  <c r="AI261" i="1"/>
  <c r="AF261" i="1"/>
  <c r="AE261" i="1"/>
  <c r="AB261" i="1"/>
  <c r="AA261" i="1"/>
  <c r="X261" i="1"/>
  <c r="W261" i="1"/>
  <c r="T261" i="1"/>
  <c r="S261" i="1"/>
  <c r="P261" i="1"/>
  <c r="O261" i="1"/>
  <c r="L261" i="1"/>
  <c r="K261" i="1"/>
  <c r="H261" i="1"/>
  <c r="G261" i="1"/>
  <c r="D261" i="1"/>
  <c r="C261" i="1"/>
  <c r="CN254" i="1"/>
  <c r="CM254" i="1"/>
  <c r="CJ254" i="1"/>
  <c r="CI254" i="1"/>
  <c r="CF254" i="1"/>
  <c r="CE254" i="1"/>
  <c r="CB254" i="1"/>
  <c r="CA254" i="1"/>
  <c r="BX254" i="1"/>
  <c r="BW254" i="1"/>
  <c r="BT254" i="1"/>
  <c r="BS254" i="1"/>
  <c r="BP254" i="1"/>
  <c r="BO254" i="1"/>
  <c r="BL254" i="1"/>
  <c r="BK254" i="1"/>
  <c r="BH254" i="1"/>
  <c r="BG254" i="1"/>
  <c r="BD254" i="1"/>
  <c r="BC254" i="1"/>
  <c r="AZ254" i="1"/>
  <c r="AY254" i="1"/>
  <c r="AV254" i="1"/>
  <c r="AU254" i="1"/>
  <c r="AR254" i="1"/>
  <c r="AQ254" i="1"/>
  <c r="AN254" i="1"/>
  <c r="AM254" i="1"/>
  <c r="AJ254" i="1"/>
  <c r="AI254" i="1"/>
  <c r="AF254" i="1"/>
  <c r="AE254" i="1"/>
  <c r="AB254" i="1"/>
  <c r="AA254" i="1"/>
  <c r="X254" i="1"/>
  <c r="W254" i="1"/>
  <c r="T254" i="1"/>
  <c r="S254" i="1"/>
  <c r="P254" i="1"/>
  <c r="O254" i="1"/>
  <c r="L254" i="1"/>
  <c r="K254" i="1"/>
  <c r="H254" i="1"/>
  <c r="G254" i="1"/>
  <c r="D254" i="1"/>
  <c r="C254" i="1"/>
  <c r="CN253" i="1"/>
  <c r="CM253" i="1"/>
  <c r="CJ253" i="1"/>
  <c r="CI253" i="1"/>
  <c r="CF253" i="1"/>
  <c r="CE253" i="1"/>
  <c r="CB253" i="1"/>
  <c r="CA253" i="1"/>
  <c r="BX253" i="1"/>
  <c r="BW253" i="1"/>
  <c r="BT253" i="1"/>
  <c r="BS253" i="1"/>
  <c r="BP253" i="1"/>
  <c r="BO253" i="1"/>
  <c r="BL253" i="1"/>
  <c r="BK253" i="1"/>
  <c r="BH253" i="1"/>
  <c r="BG253" i="1"/>
  <c r="BD253" i="1"/>
  <c r="BC253" i="1"/>
  <c r="AZ253" i="1"/>
  <c r="AY253" i="1"/>
  <c r="AV253" i="1"/>
  <c r="AU253" i="1"/>
  <c r="AR253" i="1"/>
  <c r="AQ253" i="1"/>
  <c r="AN253" i="1"/>
  <c r="AM253" i="1"/>
  <c r="AJ253" i="1"/>
  <c r="AI253" i="1"/>
  <c r="AF253" i="1"/>
  <c r="AE253" i="1"/>
  <c r="AB253" i="1"/>
  <c r="AA253" i="1"/>
  <c r="X253" i="1"/>
  <c r="W253" i="1"/>
  <c r="T253" i="1"/>
  <c r="S253" i="1"/>
  <c r="P253" i="1"/>
  <c r="O253" i="1"/>
  <c r="L253" i="1"/>
  <c r="K253" i="1"/>
  <c r="H253" i="1"/>
  <c r="G253" i="1"/>
  <c r="D253" i="1"/>
  <c r="C253" i="1"/>
  <c r="CN252" i="1"/>
  <c r="CM252" i="1"/>
  <c r="CJ252" i="1"/>
  <c r="CI252" i="1"/>
  <c r="CF252" i="1"/>
  <c r="CE252" i="1"/>
  <c r="CB252" i="1"/>
  <c r="CA252" i="1"/>
  <c r="BX252" i="1"/>
  <c r="BW252" i="1"/>
  <c r="BT252" i="1"/>
  <c r="BS252" i="1"/>
  <c r="BP252" i="1"/>
  <c r="BO252" i="1"/>
  <c r="BL252" i="1"/>
  <c r="BK252" i="1"/>
  <c r="BH252" i="1"/>
  <c r="BG252" i="1"/>
  <c r="BD252" i="1"/>
  <c r="BC252" i="1"/>
  <c r="AZ252" i="1"/>
  <c r="AY252" i="1"/>
  <c r="AV252" i="1"/>
  <c r="AU252" i="1"/>
  <c r="AR252" i="1"/>
  <c r="AQ252" i="1"/>
  <c r="AN252" i="1"/>
  <c r="AM252" i="1"/>
  <c r="AJ252" i="1"/>
  <c r="AI252" i="1"/>
  <c r="AF252" i="1"/>
  <c r="AE252" i="1"/>
  <c r="AB252" i="1"/>
  <c r="AA252" i="1"/>
  <c r="X252" i="1"/>
  <c r="W252" i="1"/>
  <c r="T252" i="1"/>
  <c r="S252" i="1"/>
  <c r="P252" i="1"/>
  <c r="O252" i="1"/>
  <c r="L252" i="1"/>
  <c r="K252" i="1"/>
  <c r="H252" i="1"/>
  <c r="G252" i="1"/>
  <c r="D252" i="1"/>
  <c r="C252" i="1"/>
  <c r="CN251" i="1"/>
  <c r="CM251" i="1"/>
  <c r="CJ251" i="1"/>
  <c r="CI251" i="1"/>
  <c r="CF251" i="1"/>
  <c r="CE251" i="1"/>
  <c r="CB251" i="1"/>
  <c r="CA251" i="1"/>
  <c r="BX251" i="1"/>
  <c r="BW251" i="1"/>
  <c r="BT251" i="1"/>
  <c r="BS251" i="1"/>
  <c r="BP251" i="1"/>
  <c r="BO251" i="1"/>
  <c r="BL251" i="1"/>
  <c r="BK251" i="1"/>
  <c r="BH251" i="1"/>
  <c r="BG251" i="1"/>
  <c r="BD251" i="1"/>
  <c r="BC251" i="1"/>
  <c r="AZ251" i="1"/>
  <c r="AY251" i="1"/>
  <c r="AV251" i="1"/>
  <c r="AU251" i="1"/>
  <c r="AR251" i="1"/>
  <c r="AQ251" i="1"/>
  <c r="AN251" i="1"/>
  <c r="AM251" i="1"/>
  <c r="AJ251" i="1"/>
  <c r="AI251" i="1"/>
  <c r="AF251" i="1"/>
  <c r="AE251" i="1"/>
  <c r="AB251" i="1"/>
  <c r="AA251" i="1"/>
  <c r="X251" i="1"/>
  <c r="W251" i="1"/>
  <c r="T251" i="1"/>
  <c r="S251" i="1"/>
  <c r="P251" i="1"/>
  <c r="O251" i="1"/>
  <c r="L251" i="1"/>
  <c r="K251" i="1"/>
  <c r="H251" i="1"/>
  <c r="G251" i="1"/>
  <c r="D251" i="1"/>
  <c r="C251" i="1"/>
  <c r="CN250" i="1"/>
  <c r="CM250" i="1"/>
  <c r="CJ250" i="1"/>
  <c r="CI250" i="1"/>
  <c r="CF250" i="1"/>
  <c r="CE250" i="1"/>
  <c r="CB250" i="1"/>
  <c r="CA250" i="1"/>
  <c r="BX250" i="1"/>
  <c r="BW250" i="1"/>
  <c r="BT250" i="1"/>
  <c r="BS250" i="1"/>
  <c r="BP250" i="1"/>
  <c r="BO250" i="1"/>
  <c r="BL250" i="1"/>
  <c r="BK250" i="1"/>
  <c r="BH250" i="1"/>
  <c r="BG250" i="1"/>
  <c r="BD250" i="1"/>
  <c r="BC250" i="1"/>
  <c r="AZ250" i="1"/>
  <c r="AY250" i="1"/>
  <c r="AV250" i="1"/>
  <c r="AU250" i="1"/>
  <c r="AR250" i="1"/>
  <c r="AQ250" i="1"/>
  <c r="AN250" i="1"/>
  <c r="AM250" i="1"/>
  <c r="AJ250" i="1"/>
  <c r="AI250" i="1"/>
  <c r="AF250" i="1"/>
  <c r="AE250" i="1"/>
  <c r="AB250" i="1"/>
  <c r="AA250" i="1"/>
  <c r="X250" i="1"/>
  <c r="W250" i="1"/>
  <c r="T250" i="1"/>
  <c r="S250" i="1"/>
  <c r="P250" i="1"/>
  <c r="O250" i="1"/>
  <c r="L250" i="1"/>
  <c r="K250" i="1"/>
  <c r="H250" i="1"/>
  <c r="G250" i="1"/>
  <c r="D250" i="1"/>
  <c r="C250" i="1"/>
  <c r="CN249" i="1"/>
  <c r="CM249" i="1"/>
  <c r="CJ249" i="1"/>
  <c r="CI249" i="1"/>
  <c r="CF249" i="1"/>
  <c r="CE249" i="1"/>
  <c r="CB249" i="1"/>
  <c r="CA249" i="1"/>
  <c r="BX249" i="1"/>
  <c r="BW249" i="1"/>
  <c r="BT249" i="1"/>
  <c r="BS249" i="1"/>
  <c r="BP249" i="1"/>
  <c r="BO249" i="1"/>
  <c r="BL249" i="1"/>
  <c r="BK249" i="1"/>
  <c r="BH249" i="1"/>
  <c r="BG249" i="1"/>
  <c r="BD249" i="1"/>
  <c r="BC249" i="1"/>
  <c r="AZ249" i="1"/>
  <c r="AY249" i="1"/>
  <c r="AV249" i="1"/>
  <c r="AU249" i="1"/>
  <c r="AR249" i="1"/>
  <c r="AQ249" i="1"/>
  <c r="AN249" i="1"/>
  <c r="AM249" i="1"/>
  <c r="AJ249" i="1"/>
  <c r="AI249" i="1"/>
  <c r="AF249" i="1"/>
  <c r="AE249" i="1"/>
  <c r="AB249" i="1"/>
  <c r="AA249" i="1"/>
  <c r="X249" i="1"/>
  <c r="W249" i="1"/>
  <c r="T249" i="1"/>
  <c r="S249" i="1"/>
  <c r="P249" i="1"/>
  <c r="O249" i="1"/>
  <c r="L249" i="1"/>
  <c r="K249" i="1"/>
  <c r="H249" i="1"/>
  <c r="G249" i="1"/>
  <c r="D249" i="1"/>
  <c r="C249" i="1"/>
  <c r="CN248" i="1"/>
  <c r="CM248" i="1"/>
  <c r="CJ248" i="1"/>
  <c r="CI248" i="1"/>
  <c r="CF248" i="1"/>
  <c r="CE248" i="1"/>
  <c r="CB248" i="1"/>
  <c r="CA248" i="1"/>
  <c r="BX248" i="1"/>
  <c r="BW248" i="1"/>
  <c r="BT248" i="1"/>
  <c r="BS248" i="1"/>
  <c r="BP248" i="1"/>
  <c r="BO248" i="1"/>
  <c r="BL248" i="1"/>
  <c r="BK248" i="1"/>
  <c r="BH248" i="1"/>
  <c r="BG248" i="1"/>
  <c r="BD248" i="1"/>
  <c r="BC248" i="1"/>
  <c r="AZ248" i="1"/>
  <c r="AY248" i="1"/>
  <c r="AV248" i="1"/>
  <c r="AU248" i="1"/>
  <c r="AR248" i="1"/>
  <c r="AQ248" i="1"/>
  <c r="AN248" i="1"/>
  <c r="AM248" i="1"/>
  <c r="AJ248" i="1"/>
  <c r="AI248" i="1"/>
  <c r="AF248" i="1"/>
  <c r="AE248" i="1"/>
  <c r="AB248" i="1"/>
  <c r="AA248" i="1"/>
  <c r="X248" i="1"/>
  <c r="W248" i="1"/>
  <c r="T248" i="1"/>
  <c r="S248" i="1"/>
  <c r="P248" i="1"/>
  <c r="O248" i="1"/>
  <c r="L248" i="1"/>
  <c r="K248" i="1"/>
  <c r="H248" i="1"/>
  <c r="G248" i="1"/>
  <c r="D248" i="1"/>
  <c r="C248" i="1"/>
  <c r="CN247" i="1"/>
  <c r="CM247" i="1"/>
  <c r="CJ247" i="1"/>
  <c r="CI247" i="1"/>
  <c r="CF247" i="1"/>
  <c r="CE247" i="1"/>
  <c r="CB247" i="1"/>
  <c r="CA247" i="1"/>
  <c r="BX247" i="1"/>
  <c r="BW247" i="1"/>
  <c r="BT247" i="1"/>
  <c r="BS247" i="1"/>
  <c r="BP247" i="1"/>
  <c r="BO247" i="1"/>
  <c r="BL247" i="1"/>
  <c r="BK247" i="1"/>
  <c r="BH247" i="1"/>
  <c r="BG247" i="1"/>
  <c r="BD247" i="1"/>
  <c r="BC247" i="1"/>
  <c r="AZ247" i="1"/>
  <c r="AY247" i="1"/>
  <c r="AV247" i="1"/>
  <c r="AU247" i="1"/>
  <c r="AR247" i="1"/>
  <c r="AQ247" i="1"/>
  <c r="AN247" i="1"/>
  <c r="AM247" i="1"/>
  <c r="AJ247" i="1"/>
  <c r="AI247" i="1"/>
  <c r="AF247" i="1"/>
  <c r="AE247" i="1"/>
  <c r="AB247" i="1"/>
  <c r="AA247" i="1"/>
  <c r="X247" i="1"/>
  <c r="W247" i="1"/>
  <c r="T247" i="1"/>
  <c r="S247" i="1"/>
  <c r="P247" i="1"/>
  <c r="O247" i="1"/>
  <c r="L247" i="1"/>
  <c r="K247" i="1"/>
  <c r="H247" i="1"/>
  <c r="G247" i="1"/>
  <c r="D247" i="1"/>
  <c r="C247" i="1"/>
  <c r="CN240" i="1"/>
  <c r="CM240" i="1"/>
  <c r="CJ240" i="1"/>
  <c r="CI240" i="1"/>
  <c r="CF240" i="1"/>
  <c r="CE240" i="1"/>
  <c r="CB240" i="1"/>
  <c r="CA240" i="1"/>
  <c r="BX240" i="1"/>
  <c r="BW240" i="1"/>
  <c r="BT240" i="1"/>
  <c r="BS240" i="1"/>
  <c r="BP240" i="1"/>
  <c r="BO240" i="1"/>
  <c r="BL240" i="1"/>
  <c r="BK240" i="1"/>
  <c r="BH240" i="1"/>
  <c r="BG240" i="1"/>
  <c r="BD240" i="1"/>
  <c r="BC240" i="1"/>
  <c r="AZ240" i="1"/>
  <c r="AY240" i="1"/>
  <c r="AV240" i="1"/>
  <c r="AU240" i="1"/>
  <c r="AR240" i="1"/>
  <c r="AQ240" i="1"/>
  <c r="AN240" i="1"/>
  <c r="AM240" i="1"/>
  <c r="AJ240" i="1"/>
  <c r="AI240" i="1"/>
  <c r="AF240" i="1"/>
  <c r="AE240" i="1"/>
  <c r="AB240" i="1"/>
  <c r="AA240" i="1"/>
  <c r="X240" i="1"/>
  <c r="W240" i="1"/>
  <c r="T240" i="1"/>
  <c r="S240" i="1"/>
  <c r="P240" i="1"/>
  <c r="O240" i="1"/>
  <c r="L240" i="1"/>
  <c r="K240" i="1"/>
  <c r="H240" i="1"/>
  <c r="G240" i="1"/>
  <c r="D240" i="1"/>
  <c r="C240" i="1"/>
  <c r="CN239" i="1"/>
  <c r="CM239" i="1"/>
  <c r="CJ239" i="1"/>
  <c r="CI239" i="1"/>
  <c r="CF239" i="1"/>
  <c r="CE239" i="1"/>
  <c r="CB239" i="1"/>
  <c r="CA239" i="1"/>
  <c r="BX239" i="1"/>
  <c r="BW239" i="1"/>
  <c r="BT239" i="1"/>
  <c r="BS239" i="1"/>
  <c r="BP239" i="1"/>
  <c r="BO239" i="1"/>
  <c r="BL239" i="1"/>
  <c r="BK239" i="1"/>
  <c r="BH239" i="1"/>
  <c r="BG239" i="1"/>
  <c r="BD239" i="1"/>
  <c r="BC239" i="1"/>
  <c r="AZ239" i="1"/>
  <c r="AY239" i="1"/>
  <c r="AV239" i="1"/>
  <c r="AU239" i="1"/>
  <c r="AR239" i="1"/>
  <c r="AQ239" i="1"/>
  <c r="AN239" i="1"/>
  <c r="AM239" i="1"/>
  <c r="AJ239" i="1"/>
  <c r="AI239" i="1"/>
  <c r="AF239" i="1"/>
  <c r="AE239" i="1"/>
  <c r="AB239" i="1"/>
  <c r="AA239" i="1"/>
  <c r="X239" i="1"/>
  <c r="W239" i="1"/>
  <c r="T239" i="1"/>
  <c r="S239" i="1"/>
  <c r="P239" i="1"/>
  <c r="O239" i="1"/>
  <c r="L239" i="1"/>
  <c r="K239" i="1"/>
  <c r="H239" i="1"/>
  <c r="G239" i="1"/>
  <c r="D239" i="1"/>
  <c r="C239" i="1"/>
  <c r="CN238" i="1"/>
  <c r="CM238" i="1"/>
  <c r="CJ238" i="1"/>
  <c r="CI238" i="1"/>
  <c r="CF238" i="1"/>
  <c r="CE238" i="1"/>
  <c r="CB238" i="1"/>
  <c r="CA238" i="1"/>
  <c r="BX238" i="1"/>
  <c r="BW238" i="1"/>
  <c r="BT238" i="1"/>
  <c r="BS238" i="1"/>
  <c r="BP238" i="1"/>
  <c r="BO238" i="1"/>
  <c r="BL238" i="1"/>
  <c r="BK238" i="1"/>
  <c r="BH238" i="1"/>
  <c r="BG238" i="1"/>
  <c r="BD238" i="1"/>
  <c r="BC238" i="1"/>
  <c r="AZ238" i="1"/>
  <c r="AY238" i="1"/>
  <c r="AV238" i="1"/>
  <c r="AU238" i="1"/>
  <c r="AR238" i="1"/>
  <c r="AQ238" i="1"/>
  <c r="AN238" i="1"/>
  <c r="AM238" i="1"/>
  <c r="AJ238" i="1"/>
  <c r="AI238" i="1"/>
  <c r="AF238" i="1"/>
  <c r="AE238" i="1"/>
  <c r="AB238" i="1"/>
  <c r="AA238" i="1"/>
  <c r="X238" i="1"/>
  <c r="W238" i="1"/>
  <c r="T238" i="1"/>
  <c r="S238" i="1"/>
  <c r="P238" i="1"/>
  <c r="O238" i="1"/>
  <c r="L238" i="1"/>
  <c r="K238" i="1"/>
  <c r="H238" i="1"/>
  <c r="G238" i="1"/>
  <c r="D238" i="1"/>
  <c r="C238" i="1"/>
  <c r="CN237" i="1"/>
  <c r="CM237" i="1"/>
  <c r="CJ237" i="1"/>
  <c r="CI237" i="1"/>
  <c r="CF237" i="1"/>
  <c r="CE237" i="1"/>
  <c r="CB237" i="1"/>
  <c r="CA237" i="1"/>
  <c r="BX237" i="1"/>
  <c r="BW237" i="1"/>
  <c r="BT237" i="1"/>
  <c r="BS237" i="1"/>
  <c r="BP237" i="1"/>
  <c r="BO237" i="1"/>
  <c r="BL237" i="1"/>
  <c r="BK237" i="1"/>
  <c r="BH237" i="1"/>
  <c r="BG237" i="1"/>
  <c r="BD237" i="1"/>
  <c r="BC237" i="1"/>
  <c r="AZ237" i="1"/>
  <c r="AY237" i="1"/>
  <c r="AV237" i="1"/>
  <c r="AU237" i="1"/>
  <c r="AR237" i="1"/>
  <c r="AQ237" i="1"/>
  <c r="AN237" i="1"/>
  <c r="AM237" i="1"/>
  <c r="AJ237" i="1"/>
  <c r="AI237" i="1"/>
  <c r="AF237" i="1"/>
  <c r="AE237" i="1"/>
  <c r="AB237" i="1"/>
  <c r="AA237" i="1"/>
  <c r="X237" i="1"/>
  <c r="W237" i="1"/>
  <c r="T237" i="1"/>
  <c r="S237" i="1"/>
  <c r="P237" i="1"/>
  <c r="O237" i="1"/>
  <c r="L237" i="1"/>
  <c r="K237" i="1"/>
  <c r="H237" i="1"/>
  <c r="G237" i="1"/>
  <c r="D237" i="1"/>
  <c r="C237" i="1"/>
  <c r="CN236" i="1"/>
  <c r="CM236" i="1"/>
  <c r="CJ236" i="1"/>
  <c r="CI236" i="1"/>
  <c r="CF236" i="1"/>
  <c r="CE236" i="1"/>
  <c r="CB236" i="1"/>
  <c r="CA236" i="1"/>
  <c r="BX236" i="1"/>
  <c r="BW236" i="1"/>
  <c r="BT236" i="1"/>
  <c r="BS236" i="1"/>
  <c r="BP236" i="1"/>
  <c r="BO236" i="1"/>
  <c r="BL236" i="1"/>
  <c r="BK236" i="1"/>
  <c r="BH236" i="1"/>
  <c r="BG236" i="1"/>
  <c r="BD236" i="1"/>
  <c r="BC236" i="1"/>
  <c r="AZ236" i="1"/>
  <c r="AY236" i="1"/>
  <c r="AV236" i="1"/>
  <c r="AU236" i="1"/>
  <c r="AR236" i="1"/>
  <c r="AQ236" i="1"/>
  <c r="AN236" i="1"/>
  <c r="AM236" i="1"/>
  <c r="AJ236" i="1"/>
  <c r="AI236" i="1"/>
  <c r="AF236" i="1"/>
  <c r="AE236" i="1"/>
  <c r="AB236" i="1"/>
  <c r="AA236" i="1"/>
  <c r="X236" i="1"/>
  <c r="W236" i="1"/>
  <c r="T236" i="1"/>
  <c r="S236" i="1"/>
  <c r="P236" i="1"/>
  <c r="O236" i="1"/>
  <c r="L236" i="1"/>
  <c r="K236" i="1"/>
  <c r="H236" i="1"/>
  <c r="G236" i="1"/>
  <c r="D236" i="1"/>
  <c r="C236" i="1"/>
  <c r="CN235" i="1"/>
  <c r="CM235" i="1"/>
  <c r="CJ235" i="1"/>
  <c r="CI235" i="1"/>
  <c r="CF235" i="1"/>
  <c r="CE235" i="1"/>
  <c r="CB235" i="1"/>
  <c r="CA235" i="1"/>
  <c r="BX235" i="1"/>
  <c r="BW235" i="1"/>
  <c r="BT235" i="1"/>
  <c r="BS235" i="1"/>
  <c r="BP235" i="1"/>
  <c r="BO235" i="1"/>
  <c r="BL235" i="1"/>
  <c r="BK235" i="1"/>
  <c r="BH235" i="1"/>
  <c r="BG235" i="1"/>
  <c r="BD235" i="1"/>
  <c r="BC235" i="1"/>
  <c r="AZ235" i="1"/>
  <c r="AY235" i="1"/>
  <c r="AV235" i="1"/>
  <c r="AU235" i="1"/>
  <c r="AR235" i="1"/>
  <c r="AQ235" i="1"/>
  <c r="AN235" i="1"/>
  <c r="AM235" i="1"/>
  <c r="AJ235" i="1"/>
  <c r="AI235" i="1"/>
  <c r="AF235" i="1"/>
  <c r="AE235" i="1"/>
  <c r="AB235" i="1"/>
  <c r="AA235" i="1"/>
  <c r="X235" i="1"/>
  <c r="W235" i="1"/>
  <c r="T235" i="1"/>
  <c r="S235" i="1"/>
  <c r="P235" i="1"/>
  <c r="O235" i="1"/>
  <c r="L235" i="1"/>
  <c r="K235" i="1"/>
  <c r="H235" i="1"/>
  <c r="G235" i="1"/>
  <c r="D235" i="1"/>
  <c r="C235" i="1"/>
  <c r="CN234" i="1"/>
  <c r="CM234" i="1"/>
  <c r="CJ234" i="1"/>
  <c r="CI234" i="1"/>
  <c r="CF234" i="1"/>
  <c r="CE234" i="1"/>
  <c r="CB234" i="1"/>
  <c r="CA234" i="1"/>
  <c r="BX234" i="1"/>
  <c r="BW234" i="1"/>
  <c r="BT234" i="1"/>
  <c r="BS234" i="1"/>
  <c r="BP234" i="1"/>
  <c r="BO234" i="1"/>
  <c r="BL234" i="1"/>
  <c r="BK234" i="1"/>
  <c r="BH234" i="1"/>
  <c r="BG234" i="1"/>
  <c r="BD234" i="1"/>
  <c r="BC234" i="1"/>
  <c r="AZ234" i="1"/>
  <c r="AY234" i="1"/>
  <c r="AV234" i="1"/>
  <c r="AU234" i="1"/>
  <c r="AR234" i="1"/>
  <c r="AQ234" i="1"/>
  <c r="AN234" i="1"/>
  <c r="AM234" i="1"/>
  <c r="AJ234" i="1"/>
  <c r="AI234" i="1"/>
  <c r="AF234" i="1"/>
  <c r="AE234" i="1"/>
  <c r="AB234" i="1"/>
  <c r="AA234" i="1"/>
  <c r="X234" i="1"/>
  <c r="W234" i="1"/>
  <c r="T234" i="1"/>
  <c r="S234" i="1"/>
  <c r="P234" i="1"/>
  <c r="O234" i="1"/>
  <c r="L234" i="1"/>
  <c r="K234" i="1"/>
  <c r="H234" i="1"/>
  <c r="G234" i="1"/>
  <c r="D234" i="1"/>
  <c r="C234" i="1"/>
  <c r="CN233" i="1"/>
  <c r="CM233" i="1"/>
  <c r="CJ233" i="1"/>
  <c r="CI233" i="1"/>
  <c r="CF233" i="1"/>
  <c r="CE233" i="1"/>
  <c r="CB233" i="1"/>
  <c r="CA233" i="1"/>
  <c r="BX233" i="1"/>
  <c r="BW233" i="1"/>
  <c r="BT233" i="1"/>
  <c r="BS233" i="1"/>
  <c r="BP233" i="1"/>
  <c r="BO233" i="1"/>
  <c r="BL233" i="1"/>
  <c r="BK233" i="1"/>
  <c r="BH233" i="1"/>
  <c r="BG233" i="1"/>
  <c r="BD233" i="1"/>
  <c r="BC233" i="1"/>
  <c r="AZ233" i="1"/>
  <c r="AY233" i="1"/>
  <c r="AV233" i="1"/>
  <c r="AU233" i="1"/>
  <c r="AR233" i="1"/>
  <c r="AQ233" i="1"/>
  <c r="AN233" i="1"/>
  <c r="AM233" i="1"/>
  <c r="AJ233" i="1"/>
  <c r="AI233" i="1"/>
  <c r="AF233" i="1"/>
  <c r="AE233" i="1"/>
  <c r="AB233" i="1"/>
  <c r="AA233" i="1"/>
  <c r="X233" i="1"/>
  <c r="W233" i="1"/>
  <c r="T233" i="1"/>
  <c r="S233" i="1"/>
  <c r="P233" i="1"/>
  <c r="O233" i="1"/>
  <c r="L233" i="1"/>
  <c r="K233" i="1"/>
  <c r="H233" i="1"/>
  <c r="G233" i="1"/>
  <c r="D233" i="1"/>
  <c r="C233" i="1"/>
  <c r="CN226" i="1"/>
  <c r="CM226" i="1"/>
  <c r="CJ226" i="1"/>
  <c r="CI226" i="1"/>
  <c r="CF226" i="1"/>
  <c r="CE226" i="1"/>
  <c r="CB226" i="1"/>
  <c r="CA226" i="1"/>
  <c r="BX226" i="1"/>
  <c r="BW226" i="1"/>
  <c r="BT226" i="1"/>
  <c r="BS226" i="1"/>
  <c r="BP226" i="1"/>
  <c r="BO226" i="1"/>
  <c r="BL226" i="1"/>
  <c r="BK226" i="1"/>
  <c r="BH226" i="1"/>
  <c r="BG226" i="1"/>
  <c r="BD226" i="1"/>
  <c r="BC226" i="1"/>
  <c r="AZ226" i="1"/>
  <c r="AY226" i="1"/>
  <c r="AV226" i="1"/>
  <c r="AU226" i="1"/>
  <c r="AR226" i="1"/>
  <c r="AQ226" i="1"/>
  <c r="AN226" i="1"/>
  <c r="AM226" i="1"/>
  <c r="AJ226" i="1"/>
  <c r="AI226" i="1"/>
  <c r="AF226" i="1"/>
  <c r="AE226" i="1"/>
  <c r="AB226" i="1"/>
  <c r="AA226" i="1"/>
  <c r="X226" i="1"/>
  <c r="W226" i="1"/>
  <c r="T226" i="1"/>
  <c r="S226" i="1"/>
  <c r="P226" i="1"/>
  <c r="O226" i="1"/>
  <c r="L226" i="1"/>
  <c r="K226" i="1"/>
  <c r="H226" i="1"/>
  <c r="G226" i="1"/>
  <c r="D226" i="1"/>
  <c r="C226" i="1"/>
  <c r="CN225" i="1"/>
  <c r="CM225" i="1"/>
  <c r="CJ225" i="1"/>
  <c r="CI225" i="1"/>
  <c r="CF225" i="1"/>
  <c r="CE225" i="1"/>
  <c r="CB225" i="1"/>
  <c r="CA225" i="1"/>
  <c r="BX225" i="1"/>
  <c r="BW225" i="1"/>
  <c r="BT225" i="1"/>
  <c r="BS225" i="1"/>
  <c r="BP225" i="1"/>
  <c r="BO225" i="1"/>
  <c r="BL225" i="1"/>
  <c r="BK225" i="1"/>
  <c r="BH225" i="1"/>
  <c r="BG225" i="1"/>
  <c r="BD225" i="1"/>
  <c r="BC225" i="1"/>
  <c r="AZ225" i="1"/>
  <c r="AY225" i="1"/>
  <c r="AV225" i="1"/>
  <c r="AU225" i="1"/>
  <c r="AR225" i="1"/>
  <c r="AQ225" i="1"/>
  <c r="AN225" i="1"/>
  <c r="AM225" i="1"/>
  <c r="AJ225" i="1"/>
  <c r="AI225" i="1"/>
  <c r="AF225" i="1"/>
  <c r="AE225" i="1"/>
  <c r="AB225" i="1"/>
  <c r="AA225" i="1"/>
  <c r="X225" i="1"/>
  <c r="W225" i="1"/>
  <c r="T225" i="1"/>
  <c r="S225" i="1"/>
  <c r="P225" i="1"/>
  <c r="O225" i="1"/>
  <c r="L225" i="1"/>
  <c r="K225" i="1"/>
  <c r="H225" i="1"/>
  <c r="G225" i="1"/>
  <c r="D225" i="1"/>
  <c r="C225" i="1"/>
  <c r="CN224" i="1"/>
  <c r="CM224" i="1"/>
  <c r="CJ224" i="1"/>
  <c r="CI224" i="1"/>
  <c r="CF224" i="1"/>
  <c r="CE224" i="1"/>
  <c r="CB224" i="1"/>
  <c r="CA224" i="1"/>
  <c r="BX224" i="1"/>
  <c r="BW224" i="1"/>
  <c r="BT224" i="1"/>
  <c r="BS224" i="1"/>
  <c r="BP224" i="1"/>
  <c r="BO224" i="1"/>
  <c r="BL224" i="1"/>
  <c r="BK224" i="1"/>
  <c r="BH224" i="1"/>
  <c r="BG224" i="1"/>
  <c r="BD224" i="1"/>
  <c r="BC224" i="1"/>
  <c r="AZ224" i="1"/>
  <c r="AY224" i="1"/>
  <c r="AV224" i="1"/>
  <c r="AU224" i="1"/>
  <c r="AR224" i="1"/>
  <c r="AQ224" i="1"/>
  <c r="AN224" i="1"/>
  <c r="AM224" i="1"/>
  <c r="AJ224" i="1"/>
  <c r="AI224" i="1"/>
  <c r="AF224" i="1"/>
  <c r="AE224" i="1"/>
  <c r="AB224" i="1"/>
  <c r="AA224" i="1"/>
  <c r="X224" i="1"/>
  <c r="W224" i="1"/>
  <c r="T224" i="1"/>
  <c r="S224" i="1"/>
  <c r="P224" i="1"/>
  <c r="O224" i="1"/>
  <c r="L224" i="1"/>
  <c r="K224" i="1"/>
  <c r="H224" i="1"/>
  <c r="G224" i="1"/>
  <c r="D224" i="1"/>
  <c r="C224" i="1"/>
  <c r="CN223" i="1"/>
  <c r="CM223" i="1"/>
  <c r="CJ223" i="1"/>
  <c r="CI223" i="1"/>
  <c r="CF223" i="1"/>
  <c r="CE223" i="1"/>
  <c r="CB223" i="1"/>
  <c r="CA223" i="1"/>
  <c r="BX223" i="1"/>
  <c r="BW223" i="1"/>
  <c r="BT223" i="1"/>
  <c r="BS223" i="1"/>
  <c r="BP223" i="1"/>
  <c r="BO223" i="1"/>
  <c r="BL223" i="1"/>
  <c r="BK223" i="1"/>
  <c r="BH223" i="1"/>
  <c r="BG223" i="1"/>
  <c r="BD223" i="1"/>
  <c r="BC223" i="1"/>
  <c r="AZ223" i="1"/>
  <c r="AY223" i="1"/>
  <c r="AV223" i="1"/>
  <c r="AU223" i="1"/>
  <c r="AR223" i="1"/>
  <c r="AQ223" i="1"/>
  <c r="AN223" i="1"/>
  <c r="AM223" i="1"/>
  <c r="AJ223" i="1"/>
  <c r="AI223" i="1"/>
  <c r="AF223" i="1"/>
  <c r="AE223" i="1"/>
  <c r="AB223" i="1"/>
  <c r="AA223" i="1"/>
  <c r="X223" i="1"/>
  <c r="W223" i="1"/>
  <c r="T223" i="1"/>
  <c r="S223" i="1"/>
  <c r="P223" i="1"/>
  <c r="O223" i="1"/>
  <c r="L223" i="1"/>
  <c r="K223" i="1"/>
  <c r="H223" i="1"/>
  <c r="G223" i="1"/>
  <c r="D223" i="1"/>
  <c r="C223" i="1"/>
  <c r="CN222" i="1"/>
  <c r="CM222" i="1"/>
  <c r="CJ222" i="1"/>
  <c r="CI222" i="1"/>
  <c r="CF222" i="1"/>
  <c r="CE222" i="1"/>
  <c r="CB222" i="1"/>
  <c r="CA222" i="1"/>
  <c r="BX222" i="1"/>
  <c r="BW222" i="1"/>
  <c r="BT222" i="1"/>
  <c r="BS222" i="1"/>
  <c r="BP222" i="1"/>
  <c r="BO222" i="1"/>
  <c r="BL222" i="1"/>
  <c r="BK222" i="1"/>
  <c r="BH222" i="1"/>
  <c r="BG222" i="1"/>
  <c r="BD222" i="1"/>
  <c r="BC222" i="1"/>
  <c r="AZ222" i="1"/>
  <c r="AY222" i="1"/>
  <c r="AV222" i="1"/>
  <c r="AU222" i="1"/>
  <c r="AR222" i="1"/>
  <c r="AQ222" i="1"/>
  <c r="AN222" i="1"/>
  <c r="AM222" i="1"/>
  <c r="AJ222" i="1"/>
  <c r="AI222" i="1"/>
  <c r="AF222" i="1"/>
  <c r="AE222" i="1"/>
  <c r="AB222" i="1"/>
  <c r="AA222" i="1"/>
  <c r="X222" i="1"/>
  <c r="W222" i="1"/>
  <c r="T222" i="1"/>
  <c r="S222" i="1"/>
  <c r="P222" i="1"/>
  <c r="O222" i="1"/>
  <c r="L222" i="1"/>
  <c r="K222" i="1"/>
  <c r="H222" i="1"/>
  <c r="G222" i="1"/>
  <c r="D222" i="1"/>
  <c r="C222" i="1"/>
  <c r="CN221" i="1"/>
  <c r="CM221" i="1"/>
  <c r="CJ221" i="1"/>
  <c r="CI221" i="1"/>
  <c r="CF221" i="1"/>
  <c r="CE221" i="1"/>
  <c r="CB221" i="1"/>
  <c r="CA221" i="1"/>
  <c r="BX221" i="1"/>
  <c r="BW221" i="1"/>
  <c r="BT221" i="1"/>
  <c r="BS221" i="1"/>
  <c r="BP221" i="1"/>
  <c r="BO221" i="1"/>
  <c r="BL221" i="1"/>
  <c r="BK221" i="1"/>
  <c r="BH221" i="1"/>
  <c r="BG221" i="1"/>
  <c r="BD221" i="1"/>
  <c r="BC221" i="1"/>
  <c r="AZ221" i="1"/>
  <c r="AY221" i="1"/>
  <c r="AV221" i="1"/>
  <c r="AU221" i="1"/>
  <c r="AR221" i="1"/>
  <c r="AQ221" i="1"/>
  <c r="AN221" i="1"/>
  <c r="AM221" i="1"/>
  <c r="AJ221" i="1"/>
  <c r="AI221" i="1"/>
  <c r="AF221" i="1"/>
  <c r="AE221" i="1"/>
  <c r="AB221" i="1"/>
  <c r="AA221" i="1"/>
  <c r="X221" i="1"/>
  <c r="W221" i="1"/>
  <c r="T221" i="1"/>
  <c r="S221" i="1"/>
  <c r="P221" i="1"/>
  <c r="O221" i="1"/>
  <c r="L221" i="1"/>
  <c r="K221" i="1"/>
  <c r="H221" i="1"/>
  <c r="G221" i="1"/>
  <c r="D221" i="1"/>
  <c r="C221" i="1"/>
  <c r="CN220" i="1"/>
  <c r="CM220" i="1"/>
  <c r="CJ220" i="1"/>
  <c r="CI220" i="1"/>
  <c r="CF220" i="1"/>
  <c r="CE220" i="1"/>
  <c r="CB220" i="1"/>
  <c r="CA220" i="1"/>
  <c r="BX220" i="1"/>
  <c r="BW220" i="1"/>
  <c r="BT220" i="1"/>
  <c r="BS220" i="1"/>
  <c r="BP220" i="1"/>
  <c r="BO220" i="1"/>
  <c r="BL220" i="1"/>
  <c r="BK220" i="1"/>
  <c r="BH220" i="1"/>
  <c r="BG220" i="1"/>
  <c r="BD220" i="1"/>
  <c r="BC220" i="1"/>
  <c r="AZ220" i="1"/>
  <c r="AY220" i="1"/>
  <c r="AV220" i="1"/>
  <c r="AU220" i="1"/>
  <c r="AR220" i="1"/>
  <c r="AQ220" i="1"/>
  <c r="AN220" i="1"/>
  <c r="AM220" i="1"/>
  <c r="AJ220" i="1"/>
  <c r="AI220" i="1"/>
  <c r="AF220" i="1"/>
  <c r="AE220" i="1"/>
  <c r="AB220" i="1"/>
  <c r="AA220" i="1"/>
  <c r="X220" i="1"/>
  <c r="W220" i="1"/>
  <c r="T220" i="1"/>
  <c r="S220" i="1"/>
  <c r="P220" i="1"/>
  <c r="O220" i="1"/>
  <c r="L220" i="1"/>
  <c r="K220" i="1"/>
  <c r="H220" i="1"/>
  <c r="G220" i="1"/>
  <c r="D220" i="1"/>
  <c r="C220" i="1"/>
  <c r="CN219" i="1"/>
  <c r="CM219" i="1"/>
  <c r="CJ219" i="1"/>
  <c r="CI219" i="1"/>
  <c r="CF219" i="1"/>
  <c r="CE219" i="1"/>
  <c r="CB219" i="1"/>
  <c r="CA219" i="1"/>
  <c r="BX219" i="1"/>
  <c r="BW219" i="1"/>
  <c r="BT219" i="1"/>
  <c r="BS219" i="1"/>
  <c r="BP219" i="1"/>
  <c r="BO219" i="1"/>
  <c r="BL219" i="1"/>
  <c r="BK219" i="1"/>
  <c r="BH219" i="1"/>
  <c r="BG219" i="1"/>
  <c r="BD219" i="1"/>
  <c r="BC219" i="1"/>
  <c r="AZ219" i="1"/>
  <c r="AY219" i="1"/>
  <c r="AV219" i="1"/>
  <c r="AU219" i="1"/>
  <c r="AR219" i="1"/>
  <c r="AQ219" i="1"/>
  <c r="AN219" i="1"/>
  <c r="AM219" i="1"/>
  <c r="AJ219" i="1"/>
  <c r="AI219" i="1"/>
  <c r="AF219" i="1"/>
  <c r="AE219" i="1"/>
  <c r="AB219" i="1"/>
  <c r="AA219" i="1"/>
  <c r="X219" i="1"/>
  <c r="W219" i="1"/>
  <c r="T219" i="1"/>
  <c r="S219" i="1"/>
  <c r="P219" i="1"/>
  <c r="O219" i="1"/>
  <c r="L219" i="1"/>
  <c r="K219" i="1"/>
  <c r="H219" i="1"/>
  <c r="G219" i="1"/>
  <c r="D219" i="1"/>
  <c r="C219" i="1"/>
  <c r="CN212" i="1"/>
  <c r="CM212" i="1"/>
  <c r="CJ212" i="1"/>
  <c r="CI212" i="1"/>
  <c r="CF212" i="1"/>
  <c r="CE212" i="1"/>
  <c r="CB212" i="1"/>
  <c r="CA212" i="1"/>
  <c r="BX212" i="1"/>
  <c r="BW212" i="1"/>
  <c r="BT212" i="1"/>
  <c r="BS212" i="1"/>
  <c r="BP212" i="1"/>
  <c r="BO212" i="1"/>
  <c r="BL212" i="1"/>
  <c r="BK212" i="1"/>
  <c r="BH212" i="1"/>
  <c r="BG212" i="1"/>
  <c r="BD212" i="1"/>
  <c r="BC212" i="1"/>
  <c r="AZ212" i="1"/>
  <c r="AY212" i="1"/>
  <c r="AV212" i="1"/>
  <c r="AU212" i="1"/>
  <c r="AR212" i="1"/>
  <c r="AQ212" i="1"/>
  <c r="AN212" i="1"/>
  <c r="AM212" i="1"/>
  <c r="AJ212" i="1"/>
  <c r="AI212" i="1"/>
  <c r="AF212" i="1"/>
  <c r="AE212" i="1"/>
  <c r="AB212" i="1"/>
  <c r="AA212" i="1"/>
  <c r="X212" i="1"/>
  <c r="W212" i="1"/>
  <c r="T212" i="1"/>
  <c r="S212" i="1"/>
  <c r="P212" i="1"/>
  <c r="O212" i="1"/>
  <c r="L212" i="1"/>
  <c r="K212" i="1"/>
  <c r="H212" i="1"/>
  <c r="G212" i="1"/>
  <c r="D212" i="1"/>
  <c r="C212" i="1"/>
  <c r="CN211" i="1"/>
  <c r="CM211" i="1"/>
  <c r="CJ211" i="1"/>
  <c r="CI211" i="1"/>
  <c r="CF211" i="1"/>
  <c r="CE211" i="1"/>
  <c r="CB211" i="1"/>
  <c r="CA211" i="1"/>
  <c r="BX211" i="1"/>
  <c r="BW211" i="1"/>
  <c r="BT211" i="1"/>
  <c r="BS211" i="1"/>
  <c r="BP211" i="1"/>
  <c r="BO211" i="1"/>
  <c r="BL211" i="1"/>
  <c r="BK211" i="1"/>
  <c r="BH211" i="1"/>
  <c r="BG211" i="1"/>
  <c r="BD211" i="1"/>
  <c r="BC211" i="1"/>
  <c r="AZ211" i="1"/>
  <c r="AY211" i="1"/>
  <c r="AV211" i="1"/>
  <c r="AU211" i="1"/>
  <c r="AR211" i="1"/>
  <c r="AQ211" i="1"/>
  <c r="AN211" i="1"/>
  <c r="AM211" i="1"/>
  <c r="AJ211" i="1"/>
  <c r="AI211" i="1"/>
  <c r="AF211" i="1"/>
  <c r="AE211" i="1"/>
  <c r="AB211" i="1"/>
  <c r="AA211" i="1"/>
  <c r="X211" i="1"/>
  <c r="W211" i="1"/>
  <c r="T211" i="1"/>
  <c r="S211" i="1"/>
  <c r="P211" i="1"/>
  <c r="O211" i="1"/>
  <c r="L211" i="1"/>
  <c r="K211" i="1"/>
  <c r="H211" i="1"/>
  <c r="G211" i="1"/>
  <c r="D211" i="1"/>
  <c r="C211" i="1"/>
  <c r="CN204" i="1"/>
  <c r="CM204" i="1"/>
  <c r="CJ204" i="1"/>
  <c r="CI204" i="1"/>
  <c r="CF204" i="1"/>
  <c r="CE204" i="1"/>
  <c r="CB204" i="1"/>
  <c r="CA204" i="1"/>
  <c r="BX204" i="1"/>
  <c r="BW204" i="1"/>
  <c r="BT204" i="1"/>
  <c r="BS204" i="1"/>
  <c r="BP204" i="1"/>
  <c r="BO204" i="1"/>
  <c r="BL204" i="1"/>
  <c r="BK204" i="1"/>
  <c r="BH204" i="1"/>
  <c r="BG204" i="1"/>
  <c r="BD204" i="1"/>
  <c r="BC204" i="1"/>
  <c r="AZ204" i="1"/>
  <c r="AY204" i="1"/>
  <c r="AV204" i="1"/>
  <c r="AU204" i="1"/>
  <c r="AR204" i="1"/>
  <c r="AQ204" i="1"/>
  <c r="AN204" i="1"/>
  <c r="AM204" i="1"/>
  <c r="AJ204" i="1"/>
  <c r="AI204" i="1"/>
  <c r="AF204" i="1"/>
  <c r="AE204" i="1"/>
  <c r="AB204" i="1"/>
  <c r="AA204" i="1"/>
  <c r="X204" i="1"/>
  <c r="W204" i="1"/>
  <c r="T204" i="1"/>
  <c r="S204" i="1"/>
  <c r="P204" i="1"/>
  <c r="O204" i="1"/>
  <c r="L204" i="1"/>
  <c r="K204" i="1"/>
  <c r="H204" i="1"/>
  <c r="G204" i="1"/>
  <c r="D204" i="1"/>
  <c r="C204" i="1"/>
  <c r="CN203" i="1"/>
  <c r="CM203" i="1"/>
  <c r="CJ203" i="1"/>
  <c r="CI203" i="1"/>
  <c r="CF203" i="1"/>
  <c r="CE203" i="1"/>
  <c r="CB203" i="1"/>
  <c r="CA203" i="1"/>
  <c r="BX203" i="1"/>
  <c r="BW203" i="1"/>
  <c r="BT203" i="1"/>
  <c r="BS203" i="1"/>
  <c r="BP203" i="1"/>
  <c r="BO203" i="1"/>
  <c r="BL203" i="1"/>
  <c r="BK203" i="1"/>
  <c r="BH203" i="1"/>
  <c r="BG203" i="1"/>
  <c r="BD203" i="1"/>
  <c r="BC203" i="1"/>
  <c r="AZ203" i="1"/>
  <c r="AY203" i="1"/>
  <c r="AV203" i="1"/>
  <c r="AU203" i="1"/>
  <c r="AR203" i="1"/>
  <c r="AQ203" i="1"/>
  <c r="AN203" i="1"/>
  <c r="AM203" i="1"/>
  <c r="AJ203" i="1"/>
  <c r="AI203" i="1"/>
  <c r="AF203" i="1"/>
  <c r="AE203" i="1"/>
  <c r="AB203" i="1"/>
  <c r="AA203" i="1"/>
  <c r="X203" i="1"/>
  <c r="W203" i="1"/>
  <c r="T203" i="1"/>
  <c r="S203" i="1"/>
  <c r="P203" i="1"/>
  <c r="O203" i="1"/>
  <c r="L203" i="1"/>
  <c r="K203" i="1"/>
  <c r="H203" i="1"/>
  <c r="G203" i="1"/>
  <c r="D203" i="1"/>
  <c r="C203" i="1"/>
  <c r="CN202" i="1"/>
  <c r="CM202" i="1"/>
  <c r="CJ202" i="1"/>
  <c r="CI202" i="1"/>
  <c r="CF202" i="1"/>
  <c r="CE202" i="1"/>
  <c r="CB202" i="1"/>
  <c r="CA202" i="1"/>
  <c r="BX202" i="1"/>
  <c r="BW202" i="1"/>
  <c r="BT202" i="1"/>
  <c r="BS202" i="1"/>
  <c r="BP202" i="1"/>
  <c r="BO202" i="1"/>
  <c r="BL202" i="1"/>
  <c r="BK202" i="1"/>
  <c r="BH202" i="1"/>
  <c r="BG202" i="1"/>
  <c r="BD202" i="1"/>
  <c r="BC202" i="1"/>
  <c r="AZ202" i="1"/>
  <c r="AY202" i="1"/>
  <c r="AV202" i="1"/>
  <c r="AU202" i="1"/>
  <c r="AR202" i="1"/>
  <c r="AQ202" i="1"/>
  <c r="AN202" i="1"/>
  <c r="AM202" i="1"/>
  <c r="AJ202" i="1"/>
  <c r="AI202" i="1"/>
  <c r="AF202" i="1"/>
  <c r="AE202" i="1"/>
  <c r="AB202" i="1"/>
  <c r="AA202" i="1"/>
  <c r="X202" i="1"/>
  <c r="W202" i="1"/>
  <c r="T202" i="1"/>
  <c r="S202" i="1"/>
  <c r="P202" i="1"/>
  <c r="O202" i="1"/>
  <c r="L202" i="1"/>
  <c r="K202" i="1"/>
  <c r="H202" i="1"/>
  <c r="G202" i="1"/>
  <c r="D202" i="1"/>
  <c r="C202" i="1"/>
  <c r="CN201" i="1"/>
  <c r="CM201" i="1"/>
  <c r="CJ201" i="1"/>
  <c r="CI201" i="1"/>
  <c r="CF201" i="1"/>
  <c r="CE201" i="1"/>
  <c r="CB201" i="1"/>
  <c r="CA201" i="1"/>
  <c r="BX201" i="1"/>
  <c r="BW201" i="1"/>
  <c r="BT201" i="1"/>
  <c r="BS201" i="1"/>
  <c r="BP201" i="1"/>
  <c r="BO201" i="1"/>
  <c r="BL201" i="1"/>
  <c r="BK201" i="1"/>
  <c r="BH201" i="1"/>
  <c r="BG201" i="1"/>
  <c r="BD201" i="1"/>
  <c r="BC201" i="1"/>
  <c r="AZ201" i="1"/>
  <c r="AY201" i="1"/>
  <c r="AV201" i="1"/>
  <c r="AU201" i="1"/>
  <c r="AR201" i="1"/>
  <c r="AQ201" i="1"/>
  <c r="AN201" i="1"/>
  <c r="AM201" i="1"/>
  <c r="AJ201" i="1"/>
  <c r="AI201" i="1"/>
  <c r="AF201" i="1"/>
  <c r="AE201" i="1"/>
  <c r="AB201" i="1"/>
  <c r="AA201" i="1"/>
  <c r="X201" i="1"/>
  <c r="W201" i="1"/>
  <c r="T201" i="1"/>
  <c r="S201" i="1"/>
  <c r="P201" i="1"/>
  <c r="O201" i="1"/>
  <c r="L201" i="1"/>
  <c r="K201" i="1"/>
  <c r="H201" i="1"/>
  <c r="G201" i="1"/>
  <c r="D201" i="1"/>
  <c r="C201" i="1"/>
  <c r="CN200" i="1"/>
  <c r="CM200" i="1"/>
  <c r="CJ200" i="1"/>
  <c r="CI200" i="1"/>
  <c r="CF200" i="1"/>
  <c r="CE200" i="1"/>
  <c r="CB200" i="1"/>
  <c r="CA200" i="1"/>
  <c r="BX200" i="1"/>
  <c r="BW200" i="1"/>
  <c r="BT200" i="1"/>
  <c r="BS200" i="1"/>
  <c r="BP200" i="1"/>
  <c r="BO200" i="1"/>
  <c r="BL200" i="1"/>
  <c r="BK200" i="1"/>
  <c r="BH200" i="1"/>
  <c r="BG200" i="1"/>
  <c r="BD200" i="1"/>
  <c r="BC200" i="1"/>
  <c r="AZ200" i="1"/>
  <c r="AY200" i="1"/>
  <c r="AV200" i="1"/>
  <c r="AU200" i="1"/>
  <c r="AR200" i="1"/>
  <c r="AQ200" i="1"/>
  <c r="AN200" i="1"/>
  <c r="AM200" i="1"/>
  <c r="AJ200" i="1"/>
  <c r="AI200" i="1"/>
  <c r="AF200" i="1"/>
  <c r="AE200" i="1"/>
  <c r="AB200" i="1"/>
  <c r="AA200" i="1"/>
  <c r="X200" i="1"/>
  <c r="W200" i="1"/>
  <c r="T200" i="1"/>
  <c r="S200" i="1"/>
  <c r="P200" i="1"/>
  <c r="O200" i="1"/>
  <c r="L200" i="1"/>
  <c r="K200" i="1"/>
  <c r="H200" i="1"/>
  <c r="G200" i="1"/>
  <c r="D200" i="1"/>
  <c r="C200" i="1"/>
  <c r="CN199" i="1"/>
  <c r="CM199" i="1"/>
  <c r="CJ199" i="1"/>
  <c r="CI199" i="1"/>
  <c r="CF199" i="1"/>
  <c r="CE199" i="1"/>
  <c r="CB199" i="1"/>
  <c r="CA199" i="1"/>
  <c r="BX199" i="1"/>
  <c r="BW199" i="1"/>
  <c r="BT199" i="1"/>
  <c r="BS199" i="1"/>
  <c r="BP199" i="1"/>
  <c r="BO199" i="1"/>
  <c r="BL199" i="1"/>
  <c r="BK199" i="1"/>
  <c r="BH199" i="1"/>
  <c r="BG199" i="1"/>
  <c r="BD199" i="1"/>
  <c r="BC199" i="1"/>
  <c r="AZ199" i="1"/>
  <c r="AY199" i="1"/>
  <c r="AV199" i="1"/>
  <c r="AU199" i="1"/>
  <c r="AR199" i="1"/>
  <c r="AQ199" i="1"/>
  <c r="AN199" i="1"/>
  <c r="AM199" i="1"/>
  <c r="AJ199" i="1"/>
  <c r="AI199" i="1"/>
  <c r="AF199" i="1"/>
  <c r="AE199" i="1"/>
  <c r="AB199" i="1"/>
  <c r="AA199" i="1"/>
  <c r="X199" i="1"/>
  <c r="W199" i="1"/>
  <c r="T199" i="1"/>
  <c r="S199" i="1"/>
  <c r="P199" i="1"/>
  <c r="O199" i="1"/>
  <c r="L199" i="1"/>
  <c r="K199" i="1"/>
  <c r="H199" i="1"/>
  <c r="G199" i="1"/>
  <c r="D199" i="1"/>
  <c r="C199" i="1"/>
  <c r="A198" i="1"/>
  <c r="CN192" i="1"/>
  <c r="CM192" i="1"/>
  <c r="CJ192" i="1"/>
  <c r="CI192" i="1"/>
  <c r="CF192" i="1"/>
  <c r="CE192" i="1"/>
  <c r="CB192" i="1"/>
  <c r="CA192" i="1"/>
  <c r="BX192" i="1"/>
  <c r="BW192" i="1"/>
  <c r="BT192" i="1"/>
  <c r="BS192" i="1"/>
  <c r="BP192" i="1"/>
  <c r="BO192" i="1"/>
  <c r="BL192" i="1"/>
  <c r="BK192" i="1"/>
  <c r="BH192" i="1"/>
  <c r="BG192" i="1"/>
  <c r="BD192" i="1"/>
  <c r="BC192" i="1"/>
  <c r="AZ192" i="1"/>
  <c r="AY192" i="1"/>
  <c r="AV192" i="1"/>
  <c r="AU192" i="1"/>
  <c r="AR192" i="1"/>
  <c r="AQ192" i="1"/>
  <c r="AN192" i="1"/>
  <c r="AM192" i="1"/>
  <c r="AJ192" i="1"/>
  <c r="AI192" i="1"/>
  <c r="AF192" i="1"/>
  <c r="AE192" i="1"/>
  <c r="AB192" i="1"/>
  <c r="AA192" i="1"/>
  <c r="X192" i="1"/>
  <c r="W192" i="1"/>
  <c r="T192" i="1"/>
  <c r="S192" i="1"/>
  <c r="P192" i="1"/>
  <c r="O192" i="1"/>
  <c r="L192" i="1"/>
  <c r="K192" i="1"/>
  <c r="H192" i="1"/>
  <c r="G192" i="1"/>
  <c r="D192" i="1"/>
  <c r="C192" i="1"/>
  <c r="CN191" i="1"/>
  <c r="CM191" i="1"/>
  <c r="CJ191" i="1"/>
  <c r="CI191" i="1"/>
  <c r="CF191" i="1"/>
  <c r="CE191" i="1"/>
  <c r="CB191" i="1"/>
  <c r="CA191" i="1"/>
  <c r="BX191" i="1"/>
  <c r="BW191" i="1"/>
  <c r="BT191" i="1"/>
  <c r="BS191" i="1"/>
  <c r="BP191" i="1"/>
  <c r="BO191" i="1"/>
  <c r="BL191" i="1"/>
  <c r="BK191" i="1"/>
  <c r="BH191" i="1"/>
  <c r="BG191" i="1"/>
  <c r="BD191" i="1"/>
  <c r="BC191" i="1"/>
  <c r="AZ191" i="1"/>
  <c r="AY191" i="1"/>
  <c r="AV191" i="1"/>
  <c r="AU191" i="1"/>
  <c r="AR191" i="1"/>
  <c r="AQ191" i="1"/>
  <c r="AN191" i="1"/>
  <c r="AM191" i="1"/>
  <c r="AJ191" i="1"/>
  <c r="AI191" i="1"/>
  <c r="AF191" i="1"/>
  <c r="AE191" i="1"/>
  <c r="AB191" i="1"/>
  <c r="AA191" i="1"/>
  <c r="X191" i="1"/>
  <c r="W191" i="1"/>
  <c r="T191" i="1"/>
  <c r="S191" i="1"/>
  <c r="P191" i="1"/>
  <c r="O191" i="1"/>
  <c r="L191" i="1"/>
  <c r="K191" i="1"/>
  <c r="H191" i="1"/>
  <c r="G191" i="1"/>
  <c r="D191" i="1"/>
  <c r="C191" i="1"/>
  <c r="CN184" i="1"/>
  <c r="CM184" i="1"/>
  <c r="CJ184" i="1"/>
  <c r="CI184" i="1"/>
  <c r="CF184" i="1"/>
  <c r="CE184" i="1"/>
  <c r="CB184" i="1"/>
  <c r="CA184" i="1"/>
  <c r="BX184" i="1"/>
  <c r="BW184" i="1"/>
  <c r="BT184" i="1"/>
  <c r="BS184" i="1"/>
  <c r="BP184" i="1"/>
  <c r="BO184" i="1"/>
  <c r="BL184" i="1"/>
  <c r="BK184" i="1"/>
  <c r="BH184" i="1"/>
  <c r="BG184" i="1"/>
  <c r="BD184" i="1"/>
  <c r="BC184" i="1"/>
  <c r="AZ184" i="1"/>
  <c r="AY184" i="1"/>
  <c r="AV184" i="1"/>
  <c r="AU184" i="1"/>
  <c r="AR184" i="1"/>
  <c r="AQ184" i="1"/>
  <c r="AN184" i="1"/>
  <c r="AM184" i="1"/>
  <c r="AJ184" i="1"/>
  <c r="AI184" i="1"/>
  <c r="AF184" i="1"/>
  <c r="AE184" i="1"/>
  <c r="AB184" i="1"/>
  <c r="AA184" i="1"/>
  <c r="X184" i="1"/>
  <c r="W184" i="1"/>
  <c r="T184" i="1"/>
  <c r="S184" i="1"/>
  <c r="P184" i="1"/>
  <c r="O184" i="1"/>
  <c r="L184" i="1"/>
  <c r="K184" i="1"/>
  <c r="H184" i="1"/>
  <c r="G184" i="1"/>
  <c r="D184" i="1"/>
  <c r="C184" i="1"/>
  <c r="CN183" i="1"/>
  <c r="CM183" i="1"/>
  <c r="CJ183" i="1"/>
  <c r="CI183" i="1"/>
  <c r="CF183" i="1"/>
  <c r="CE183" i="1"/>
  <c r="CB183" i="1"/>
  <c r="CA183" i="1"/>
  <c r="BX183" i="1"/>
  <c r="BW183" i="1"/>
  <c r="BT183" i="1"/>
  <c r="BS183" i="1"/>
  <c r="BP183" i="1"/>
  <c r="BO183" i="1"/>
  <c r="BL183" i="1"/>
  <c r="BK183" i="1"/>
  <c r="BH183" i="1"/>
  <c r="BG183" i="1"/>
  <c r="BD183" i="1"/>
  <c r="BC183" i="1"/>
  <c r="AZ183" i="1"/>
  <c r="AY183" i="1"/>
  <c r="AV183" i="1"/>
  <c r="AU183" i="1"/>
  <c r="AR183" i="1"/>
  <c r="AQ183" i="1"/>
  <c r="AN183" i="1"/>
  <c r="AM183" i="1"/>
  <c r="AJ183" i="1"/>
  <c r="AI183" i="1"/>
  <c r="AF183" i="1"/>
  <c r="AE183" i="1"/>
  <c r="AB183" i="1"/>
  <c r="AA183" i="1"/>
  <c r="X183" i="1"/>
  <c r="W183" i="1"/>
  <c r="T183" i="1"/>
  <c r="S183" i="1"/>
  <c r="P183" i="1"/>
  <c r="O183" i="1"/>
  <c r="L183" i="1"/>
  <c r="K183" i="1"/>
  <c r="H183" i="1"/>
  <c r="G183" i="1"/>
  <c r="D183" i="1"/>
  <c r="C183" i="1"/>
  <c r="CN182" i="1"/>
  <c r="CM182" i="1"/>
  <c r="CJ182" i="1"/>
  <c r="CI182" i="1"/>
  <c r="CF182" i="1"/>
  <c r="CE182" i="1"/>
  <c r="CB182" i="1"/>
  <c r="CA182" i="1"/>
  <c r="BX182" i="1"/>
  <c r="BW182" i="1"/>
  <c r="BT182" i="1"/>
  <c r="BS182" i="1"/>
  <c r="BP182" i="1"/>
  <c r="BO182" i="1"/>
  <c r="BL182" i="1"/>
  <c r="BK182" i="1"/>
  <c r="BH182" i="1"/>
  <c r="BG182" i="1"/>
  <c r="BD182" i="1"/>
  <c r="BC182" i="1"/>
  <c r="AZ182" i="1"/>
  <c r="AY182" i="1"/>
  <c r="AV182" i="1"/>
  <c r="AU182" i="1"/>
  <c r="AR182" i="1"/>
  <c r="AQ182" i="1"/>
  <c r="AN182" i="1"/>
  <c r="AM182" i="1"/>
  <c r="AJ182" i="1"/>
  <c r="AI182" i="1"/>
  <c r="AF182" i="1"/>
  <c r="AE182" i="1"/>
  <c r="AB182" i="1"/>
  <c r="AA182" i="1"/>
  <c r="X182" i="1"/>
  <c r="W182" i="1"/>
  <c r="T182" i="1"/>
  <c r="S182" i="1"/>
  <c r="P182" i="1"/>
  <c r="O182" i="1"/>
  <c r="L182" i="1"/>
  <c r="K182" i="1"/>
  <c r="H182" i="1"/>
  <c r="G182" i="1"/>
  <c r="D182" i="1"/>
  <c r="C182" i="1"/>
  <c r="CN175" i="1"/>
  <c r="CM175" i="1"/>
  <c r="CJ175" i="1"/>
  <c r="CI175" i="1"/>
  <c r="CF175" i="1"/>
  <c r="CE175" i="1"/>
  <c r="CB175" i="1"/>
  <c r="CA175" i="1"/>
  <c r="BX175" i="1"/>
  <c r="BW175" i="1"/>
  <c r="BT175" i="1"/>
  <c r="BS175" i="1"/>
  <c r="BP175" i="1"/>
  <c r="BO175" i="1"/>
  <c r="BL175" i="1"/>
  <c r="BK175" i="1"/>
  <c r="BH175" i="1"/>
  <c r="BG175" i="1"/>
  <c r="BD175" i="1"/>
  <c r="BC175" i="1"/>
  <c r="AZ175" i="1"/>
  <c r="AY175" i="1"/>
  <c r="AV175" i="1"/>
  <c r="AU175" i="1"/>
  <c r="AR175" i="1"/>
  <c r="AQ175" i="1"/>
  <c r="AN175" i="1"/>
  <c r="AM175" i="1"/>
  <c r="AJ175" i="1"/>
  <c r="AI175" i="1"/>
  <c r="AF175" i="1"/>
  <c r="AE175" i="1"/>
  <c r="AB175" i="1"/>
  <c r="AA175" i="1"/>
  <c r="X175" i="1"/>
  <c r="W175" i="1"/>
  <c r="T175" i="1"/>
  <c r="S175" i="1"/>
  <c r="P175" i="1"/>
  <c r="O175" i="1"/>
  <c r="L175" i="1"/>
  <c r="K175" i="1"/>
  <c r="H175" i="1"/>
  <c r="G175" i="1"/>
  <c r="D175" i="1"/>
  <c r="C175" i="1"/>
  <c r="CN174" i="1"/>
  <c r="CM174" i="1"/>
  <c r="CJ174" i="1"/>
  <c r="CI174" i="1"/>
  <c r="CF174" i="1"/>
  <c r="CE174" i="1"/>
  <c r="CB174" i="1"/>
  <c r="CA174" i="1"/>
  <c r="BX174" i="1"/>
  <c r="BW174" i="1"/>
  <c r="BT174" i="1"/>
  <c r="BS174" i="1"/>
  <c r="BP174" i="1"/>
  <c r="BO174" i="1"/>
  <c r="BL174" i="1"/>
  <c r="BK174" i="1"/>
  <c r="BH174" i="1"/>
  <c r="BG174" i="1"/>
  <c r="BD174" i="1"/>
  <c r="BC174" i="1"/>
  <c r="AZ174" i="1"/>
  <c r="AY174" i="1"/>
  <c r="AV174" i="1"/>
  <c r="AU174" i="1"/>
  <c r="AR174" i="1"/>
  <c r="AQ174" i="1"/>
  <c r="AN174" i="1"/>
  <c r="AM174" i="1"/>
  <c r="AJ174" i="1"/>
  <c r="AI174" i="1"/>
  <c r="AF174" i="1"/>
  <c r="AE174" i="1"/>
  <c r="AB174" i="1"/>
  <c r="AA174" i="1"/>
  <c r="X174" i="1"/>
  <c r="W174" i="1"/>
  <c r="T174" i="1"/>
  <c r="S174" i="1"/>
  <c r="P174" i="1"/>
  <c r="O174" i="1"/>
  <c r="L174" i="1"/>
  <c r="K174" i="1"/>
  <c r="H174" i="1"/>
  <c r="G174" i="1"/>
  <c r="D174" i="1"/>
  <c r="C174" i="1"/>
  <c r="CN173" i="1"/>
  <c r="CM173" i="1"/>
  <c r="CJ173" i="1"/>
  <c r="CI173" i="1"/>
  <c r="CF173" i="1"/>
  <c r="CE173" i="1"/>
  <c r="CB173" i="1"/>
  <c r="CA173" i="1"/>
  <c r="BX173" i="1"/>
  <c r="BW173" i="1"/>
  <c r="BT173" i="1"/>
  <c r="BS173" i="1"/>
  <c r="BP173" i="1"/>
  <c r="BO173" i="1"/>
  <c r="BL173" i="1"/>
  <c r="BK173" i="1"/>
  <c r="BH173" i="1"/>
  <c r="BG173" i="1"/>
  <c r="BD173" i="1"/>
  <c r="BC173" i="1"/>
  <c r="AZ173" i="1"/>
  <c r="AY173" i="1"/>
  <c r="AV173" i="1"/>
  <c r="AU173" i="1"/>
  <c r="AR173" i="1"/>
  <c r="AQ173" i="1"/>
  <c r="AN173" i="1"/>
  <c r="AM173" i="1"/>
  <c r="AJ173" i="1"/>
  <c r="AI173" i="1"/>
  <c r="AF173" i="1"/>
  <c r="AE173" i="1"/>
  <c r="AB173" i="1"/>
  <c r="AA173" i="1"/>
  <c r="X173" i="1"/>
  <c r="W173" i="1"/>
  <c r="T173" i="1"/>
  <c r="S173" i="1"/>
  <c r="P173" i="1"/>
  <c r="O173" i="1"/>
  <c r="L173" i="1"/>
  <c r="K173" i="1"/>
  <c r="H173" i="1"/>
  <c r="G173" i="1"/>
  <c r="D173" i="1"/>
  <c r="C173" i="1"/>
  <c r="CN172" i="1"/>
  <c r="CM172" i="1"/>
  <c r="CJ172" i="1"/>
  <c r="CI172" i="1"/>
  <c r="CF172" i="1"/>
  <c r="CE172" i="1"/>
  <c r="CB172" i="1"/>
  <c r="CA172" i="1"/>
  <c r="BX172" i="1"/>
  <c r="BW172" i="1"/>
  <c r="BT172" i="1"/>
  <c r="BS172" i="1"/>
  <c r="BP172" i="1"/>
  <c r="BO172" i="1"/>
  <c r="BL172" i="1"/>
  <c r="BK172" i="1"/>
  <c r="BH172" i="1"/>
  <c r="BG172" i="1"/>
  <c r="BD172" i="1"/>
  <c r="BC172" i="1"/>
  <c r="AZ172" i="1"/>
  <c r="AY172" i="1"/>
  <c r="AV172" i="1"/>
  <c r="AU172" i="1"/>
  <c r="AR172" i="1"/>
  <c r="AQ172" i="1"/>
  <c r="AN172" i="1"/>
  <c r="AM172" i="1"/>
  <c r="AJ172" i="1"/>
  <c r="AI172" i="1"/>
  <c r="AF172" i="1"/>
  <c r="AE172" i="1"/>
  <c r="AB172" i="1"/>
  <c r="AA172" i="1"/>
  <c r="X172" i="1"/>
  <c r="W172" i="1"/>
  <c r="T172" i="1"/>
  <c r="S172" i="1"/>
  <c r="P172" i="1"/>
  <c r="O172" i="1"/>
  <c r="L172" i="1"/>
  <c r="K172" i="1"/>
  <c r="H172" i="1"/>
  <c r="G172" i="1"/>
  <c r="D172" i="1"/>
  <c r="C172" i="1"/>
  <c r="CN171" i="1"/>
  <c r="CM171" i="1"/>
  <c r="CJ171" i="1"/>
  <c r="CI171" i="1"/>
  <c r="CF171" i="1"/>
  <c r="CE171" i="1"/>
  <c r="CB171" i="1"/>
  <c r="CA171" i="1"/>
  <c r="BX171" i="1"/>
  <c r="BW171" i="1"/>
  <c r="BT171" i="1"/>
  <c r="BS171" i="1"/>
  <c r="BP171" i="1"/>
  <c r="BO171" i="1"/>
  <c r="BL171" i="1"/>
  <c r="BK171" i="1"/>
  <c r="BH171" i="1"/>
  <c r="BG171" i="1"/>
  <c r="BD171" i="1"/>
  <c r="BC171" i="1"/>
  <c r="AZ171" i="1"/>
  <c r="AY171" i="1"/>
  <c r="AV171" i="1"/>
  <c r="AU171" i="1"/>
  <c r="AR171" i="1"/>
  <c r="AQ171" i="1"/>
  <c r="AN171" i="1"/>
  <c r="AM171" i="1"/>
  <c r="AJ171" i="1"/>
  <c r="AI171" i="1"/>
  <c r="AF171" i="1"/>
  <c r="AE171" i="1"/>
  <c r="AB171" i="1"/>
  <c r="AA171" i="1"/>
  <c r="X171" i="1"/>
  <c r="W171" i="1"/>
  <c r="T171" i="1"/>
  <c r="S171" i="1"/>
  <c r="P171" i="1"/>
  <c r="O171" i="1"/>
  <c r="L171" i="1"/>
  <c r="K171" i="1"/>
  <c r="H171" i="1"/>
  <c r="G171" i="1"/>
  <c r="D171" i="1"/>
  <c r="C171" i="1"/>
  <c r="CN170" i="1"/>
  <c r="CM170" i="1"/>
  <c r="CJ170" i="1"/>
  <c r="CI170" i="1"/>
  <c r="CF170" i="1"/>
  <c r="CE170" i="1"/>
  <c r="CB170" i="1"/>
  <c r="CA170" i="1"/>
  <c r="BX170" i="1"/>
  <c r="BW170" i="1"/>
  <c r="BT170" i="1"/>
  <c r="BS170" i="1"/>
  <c r="BP170" i="1"/>
  <c r="BO170" i="1"/>
  <c r="BL170" i="1"/>
  <c r="BK170" i="1"/>
  <c r="BH170" i="1"/>
  <c r="BG170" i="1"/>
  <c r="BD170" i="1"/>
  <c r="BC170" i="1"/>
  <c r="AZ170" i="1"/>
  <c r="AY170" i="1"/>
  <c r="AV170" i="1"/>
  <c r="AU170" i="1"/>
  <c r="AR170" i="1"/>
  <c r="AQ170" i="1"/>
  <c r="AN170" i="1"/>
  <c r="AM170" i="1"/>
  <c r="AJ170" i="1"/>
  <c r="AI170" i="1"/>
  <c r="AF170" i="1"/>
  <c r="AE170" i="1"/>
  <c r="AB170" i="1"/>
  <c r="AA170" i="1"/>
  <c r="X170" i="1"/>
  <c r="W170" i="1"/>
  <c r="T170" i="1"/>
  <c r="S170" i="1"/>
  <c r="P170" i="1"/>
  <c r="O170" i="1"/>
  <c r="L170" i="1"/>
  <c r="K170" i="1"/>
  <c r="H170" i="1"/>
  <c r="G170" i="1"/>
  <c r="D170" i="1"/>
  <c r="C170" i="1"/>
  <c r="CN169" i="1"/>
  <c r="CM169" i="1"/>
  <c r="CJ169" i="1"/>
  <c r="CI169" i="1"/>
  <c r="CF169" i="1"/>
  <c r="CE169" i="1"/>
  <c r="CB169" i="1"/>
  <c r="CA169" i="1"/>
  <c r="BX169" i="1"/>
  <c r="BW169" i="1"/>
  <c r="BT169" i="1"/>
  <c r="BS169" i="1"/>
  <c r="BP169" i="1"/>
  <c r="BO169" i="1"/>
  <c r="BL169" i="1"/>
  <c r="BK169" i="1"/>
  <c r="BH169" i="1"/>
  <c r="BG169" i="1"/>
  <c r="BD169" i="1"/>
  <c r="BC169" i="1"/>
  <c r="AZ169" i="1"/>
  <c r="AY169" i="1"/>
  <c r="AV169" i="1"/>
  <c r="AU169" i="1"/>
  <c r="AR169" i="1"/>
  <c r="AQ169" i="1"/>
  <c r="AN169" i="1"/>
  <c r="AM169" i="1"/>
  <c r="AJ169" i="1"/>
  <c r="AI169" i="1"/>
  <c r="AF169" i="1"/>
  <c r="AE169" i="1"/>
  <c r="AB169" i="1"/>
  <c r="AA169" i="1"/>
  <c r="X169" i="1"/>
  <c r="W169" i="1"/>
  <c r="T169" i="1"/>
  <c r="S169" i="1"/>
  <c r="P169" i="1"/>
  <c r="O169" i="1"/>
  <c r="L169" i="1"/>
  <c r="K169" i="1"/>
  <c r="H169" i="1"/>
  <c r="G169" i="1"/>
  <c r="D169" i="1"/>
  <c r="C169" i="1"/>
  <c r="CN162" i="1"/>
  <c r="CM162" i="1"/>
  <c r="CJ162" i="1"/>
  <c r="CI162" i="1"/>
  <c r="CF162" i="1"/>
  <c r="CE162" i="1"/>
  <c r="CB162" i="1"/>
  <c r="CA162" i="1"/>
  <c r="BX162" i="1"/>
  <c r="BW162" i="1"/>
  <c r="BT162" i="1"/>
  <c r="BS162" i="1"/>
  <c r="BP162" i="1"/>
  <c r="BO162" i="1"/>
  <c r="BL162" i="1"/>
  <c r="BK162" i="1"/>
  <c r="BH162" i="1"/>
  <c r="BG162" i="1"/>
  <c r="BD162" i="1"/>
  <c r="BC162" i="1"/>
  <c r="AZ162" i="1"/>
  <c r="AY162" i="1"/>
  <c r="AV162" i="1"/>
  <c r="AU162" i="1"/>
  <c r="AR162" i="1"/>
  <c r="AQ162" i="1"/>
  <c r="AN162" i="1"/>
  <c r="AM162" i="1"/>
  <c r="AJ162" i="1"/>
  <c r="AI162" i="1"/>
  <c r="AF162" i="1"/>
  <c r="AE162" i="1"/>
  <c r="AB162" i="1"/>
  <c r="AA162" i="1"/>
  <c r="X162" i="1"/>
  <c r="W162" i="1"/>
  <c r="T162" i="1"/>
  <c r="S162" i="1"/>
  <c r="P162" i="1"/>
  <c r="O162" i="1"/>
  <c r="L162" i="1"/>
  <c r="K162" i="1"/>
  <c r="H162" i="1"/>
  <c r="G162" i="1"/>
  <c r="D162" i="1"/>
  <c r="C162" i="1"/>
  <c r="CN161" i="1"/>
  <c r="CM161" i="1"/>
  <c r="CJ161" i="1"/>
  <c r="CI161" i="1"/>
  <c r="CF161" i="1"/>
  <c r="CE161" i="1"/>
  <c r="CB161" i="1"/>
  <c r="CA161" i="1"/>
  <c r="BX161" i="1"/>
  <c r="BW161" i="1"/>
  <c r="BT161" i="1"/>
  <c r="BS161" i="1"/>
  <c r="BP161" i="1"/>
  <c r="BO161" i="1"/>
  <c r="BL161" i="1"/>
  <c r="BK161" i="1"/>
  <c r="BH161" i="1"/>
  <c r="BG161" i="1"/>
  <c r="BD161" i="1"/>
  <c r="BC161" i="1"/>
  <c r="AZ161" i="1"/>
  <c r="AY161" i="1"/>
  <c r="AV161" i="1"/>
  <c r="AU161" i="1"/>
  <c r="AR161" i="1"/>
  <c r="AQ161" i="1"/>
  <c r="AN161" i="1"/>
  <c r="AM161" i="1"/>
  <c r="AJ161" i="1"/>
  <c r="AI161" i="1"/>
  <c r="AF161" i="1"/>
  <c r="AE161" i="1"/>
  <c r="AB161" i="1"/>
  <c r="AA161" i="1"/>
  <c r="X161" i="1"/>
  <c r="W161" i="1"/>
  <c r="T161" i="1"/>
  <c r="S161" i="1"/>
  <c r="P161" i="1"/>
  <c r="O161" i="1"/>
  <c r="L161" i="1"/>
  <c r="K161" i="1"/>
  <c r="H161" i="1"/>
  <c r="G161" i="1"/>
  <c r="D161" i="1"/>
  <c r="C161" i="1"/>
  <c r="CN160" i="1"/>
  <c r="CM160" i="1"/>
  <c r="CJ160" i="1"/>
  <c r="CI160" i="1"/>
  <c r="CF160" i="1"/>
  <c r="CE160" i="1"/>
  <c r="CB160" i="1"/>
  <c r="CA160" i="1"/>
  <c r="BX160" i="1"/>
  <c r="BW160" i="1"/>
  <c r="BT160" i="1"/>
  <c r="BS160" i="1"/>
  <c r="BP160" i="1"/>
  <c r="BO160" i="1"/>
  <c r="BL160" i="1"/>
  <c r="BK160" i="1"/>
  <c r="BH160" i="1"/>
  <c r="BG160" i="1"/>
  <c r="BD160" i="1"/>
  <c r="BC160" i="1"/>
  <c r="AZ160" i="1"/>
  <c r="AY160" i="1"/>
  <c r="AV160" i="1"/>
  <c r="AU160" i="1"/>
  <c r="AR160" i="1"/>
  <c r="AQ160" i="1"/>
  <c r="AN160" i="1"/>
  <c r="AM160" i="1"/>
  <c r="AJ160" i="1"/>
  <c r="AI160" i="1"/>
  <c r="AF160" i="1"/>
  <c r="AE160" i="1"/>
  <c r="AB160" i="1"/>
  <c r="AA160" i="1"/>
  <c r="X160" i="1"/>
  <c r="W160" i="1"/>
  <c r="T160" i="1"/>
  <c r="S160" i="1"/>
  <c r="P160" i="1"/>
  <c r="O160" i="1"/>
  <c r="L160" i="1"/>
  <c r="K160" i="1"/>
  <c r="H160" i="1"/>
  <c r="G160" i="1"/>
  <c r="D160" i="1"/>
  <c r="C160" i="1"/>
  <c r="CN159" i="1"/>
  <c r="CM159" i="1"/>
  <c r="CJ159" i="1"/>
  <c r="CI159" i="1"/>
  <c r="CF159" i="1"/>
  <c r="CE159" i="1"/>
  <c r="CB159" i="1"/>
  <c r="CA159" i="1"/>
  <c r="BX159" i="1"/>
  <c r="BW159" i="1"/>
  <c r="BT159" i="1"/>
  <c r="BS159" i="1"/>
  <c r="BP159" i="1"/>
  <c r="BO159" i="1"/>
  <c r="BL159" i="1"/>
  <c r="BK159" i="1"/>
  <c r="BH159" i="1"/>
  <c r="BG159" i="1"/>
  <c r="BD159" i="1"/>
  <c r="BC159" i="1"/>
  <c r="AZ159" i="1"/>
  <c r="AY159" i="1"/>
  <c r="AV159" i="1"/>
  <c r="AU159" i="1"/>
  <c r="AR159" i="1"/>
  <c r="AQ159" i="1"/>
  <c r="AN159" i="1"/>
  <c r="AM159" i="1"/>
  <c r="AJ159" i="1"/>
  <c r="AI159" i="1"/>
  <c r="AF159" i="1"/>
  <c r="AE159" i="1"/>
  <c r="AB159" i="1"/>
  <c r="AA159" i="1"/>
  <c r="X159" i="1"/>
  <c r="W159" i="1"/>
  <c r="T159" i="1"/>
  <c r="S159" i="1"/>
  <c r="P159" i="1"/>
  <c r="O159" i="1"/>
  <c r="L159" i="1"/>
  <c r="K159" i="1"/>
  <c r="H159" i="1"/>
  <c r="G159" i="1"/>
  <c r="D159" i="1"/>
  <c r="C159" i="1"/>
  <c r="CN158" i="1"/>
  <c r="CM158" i="1"/>
  <c r="CJ158" i="1"/>
  <c r="CI158" i="1"/>
  <c r="CF158" i="1"/>
  <c r="CE158" i="1"/>
  <c r="CB158" i="1"/>
  <c r="CA158" i="1"/>
  <c r="BX158" i="1"/>
  <c r="BW158" i="1"/>
  <c r="BT158" i="1"/>
  <c r="BS158" i="1"/>
  <c r="BP158" i="1"/>
  <c r="BO158" i="1"/>
  <c r="BL158" i="1"/>
  <c r="BK158" i="1"/>
  <c r="BH158" i="1"/>
  <c r="BG158" i="1"/>
  <c r="BD158" i="1"/>
  <c r="BC158" i="1"/>
  <c r="AZ158" i="1"/>
  <c r="AY158" i="1"/>
  <c r="AV158" i="1"/>
  <c r="AU158" i="1"/>
  <c r="AR158" i="1"/>
  <c r="AQ158" i="1"/>
  <c r="AN158" i="1"/>
  <c r="AM158" i="1"/>
  <c r="AJ158" i="1"/>
  <c r="AI158" i="1"/>
  <c r="AF158" i="1"/>
  <c r="AE158" i="1"/>
  <c r="AB158" i="1"/>
  <c r="AA158" i="1"/>
  <c r="X158" i="1"/>
  <c r="W158" i="1"/>
  <c r="T158" i="1"/>
  <c r="S158" i="1"/>
  <c r="P158" i="1"/>
  <c r="O158" i="1"/>
  <c r="L158" i="1"/>
  <c r="K158" i="1"/>
  <c r="H158" i="1"/>
  <c r="G158" i="1"/>
  <c r="D158" i="1"/>
  <c r="C158" i="1"/>
  <c r="CN157" i="1"/>
  <c r="CM157" i="1"/>
  <c r="CJ157" i="1"/>
  <c r="CI157" i="1"/>
  <c r="CF157" i="1"/>
  <c r="CE157" i="1"/>
  <c r="CB157" i="1"/>
  <c r="CA157" i="1"/>
  <c r="BX157" i="1"/>
  <c r="BW157" i="1"/>
  <c r="BT157" i="1"/>
  <c r="BS157" i="1"/>
  <c r="BP157" i="1"/>
  <c r="BO157" i="1"/>
  <c r="BL157" i="1"/>
  <c r="BK157" i="1"/>
  <c r="BH157" i="1"/>
  <c r="BG157" i="1"/>
  <c r="BD157" i="1"/>
  <c r="BC157" i="1"/>
  <c r="AZ157" i="1"/>
  <c r="AY157" i="1"/>
  <c r="AV157" i="1"/>
  <c r="AU157" i="1"/>
  <c r="AR157" i="1"/>
  <c r="AQ157" i="1"/>
  <c r="AN157" i="1"/>
  <c r="AM157" i="1"/>
  <c r="AJ157" i="1"/>
  <c r="AI157" i="1"/>
  <c r="AF157" i="1"/>
  <c r="AE157" i="1"/>
  <c r="AB157" i="1"/>
  <c r="AA157" i="1"/>
  <c r="X157" i="1"/>
  <c r="W157" i="1"/>
  <c r="T157" i="1"/>
  <c r="S157" i="1"/>
  <c r="P157" i="1"/>
  <c r="O157" i="1"/>
  <c r="L157" i="1"/>
  <c r="K157" i="1"/>
  <c r="H157" i="1"/>
  <c r="G157" i="1"/>
  <c r="D157" i="1"/>
  <c r="C157" i="1"/>
  <c r="A156" i="1"/>
  <c r="CN150" i="1"/>
  <c r="CM150" i="1"/>
  <c r="CJ150" i="1"/>
  <c r="CI150" i="1"/>
  <c r="CF150" i="1"/>
  <c r="CE150" i="1"/>
  <c r="CB150" i="1"/>
  <c r="CA150" i="1"/>
  <c r="BX150" i="1"/>
  <c r="BW150" i="1"/>
  <c r="BT150" i="1"/>
  <c r="BS150" i="1"/>
  <c r="BP150" i="1"/>
  <c r="BO150" i="1"/>
  <c r="BL150" i="1"/>
  <c r="BK150" i="1"/>
  <c r="BH150" i="1"/>
  <c r="BG150" i="1"/>
  <c r="BD150" i="1"/>
  <c r="BC150" i="1"/>
  <c r="AZ150" i="1"/>
  <c r="AY150" i="1"/>
  <c r="AV150" i="1"/>
  <c r="AU150" i="1"/>
  <c r="AR150" i="1"/>
  <c r="AQ150" i="1"/>
  <c r="AN150" i="1"/>
  <c r="AM150" i="1"/>
  <c r="AJ150" i="1"/>
  <c r="AI150" i="1"/>
  <c r="AF150" i="1"/>
  <c r="AE150" i="1"/>
  <c r="AB150" i="1"/>
  <c r="AA150" i="1"/>
  <c r="X150" i="1"/>
  <c r="W150" i="1"/>
  <c r="T150" i="1"/>
  <c r="S150" i="1"/>
  <c r="P150" i="1"/>
  <c r="O150" i="1"/>
  <c r="L150" i="1"/>
  <c r="K150" i="1"/>
  <c r="H150" i="1"/>
  <c r="G150" i="1"/>
  <c r="D150" i="1"/>
  <c r="C150" i="1"/>
  <c r="CN149" i="1"/>
  <c r="CM149" i="1"/>
  <c r="CJ149" i="1"/>
  <c r="CI149" i="1"/>
  <c r="CF149" i="1"/>
  <c r="CE149" i="1"/>
  <c r="CB149" i="1"/>
  <c r="CA149" i="1"/>
  <c r="BX149" i="1"/>
  <c r="BW149" i="1"/>
  <c r="BT149" i="1"/>
  <c r="BS149" i="1"/>
  <c r="BP149" i="1"/>
  <c r="BO149" i="1"/>
  <c r="BL149" i="1"/>
  <c r="BK149" i="1"/>
  <c r="BH149" i="1"/>
  <c r="BG149" i="1"/>
  <c r="BD149" i="1"/>
  <c r="BC149" i="1"/>
  <c r="AZ149" i="1"/>
  <c r="AY149" i="1"/>
  <c r="AV149" i="1"/>
  <c r="AU149" i="1"/>
  <c r="AR149" i="1"/>
  <c r="AQ149" i="1"/>
  <c r="AN149" i="1"/>
  <c r="AM149" i="1"/>
  <c r="AJ149" i="1"/>
  <c r="AI149" i="1"/>
  <c r="AF149" i="1"/>
  <c r="AE149" i="1"/>
  <c r="AB149" i="1"/>
  <c r="AA149" i="1"/>
  <c r="X149" i="1"/>
  <c r="W149" i="1"/>
  <c r="T149" i="1"/>
  <c r="S149" i="1"/>
  <c r="P149" i="1"/>
  <c r="O149" i="1"/>
  <c r="L149" i="1"/>
  <c r="K149" i="1"/>
  <c r="H149" i="1"/>
  <c r="G149" i="1"/>
  <c r="D149" i="1"/>
  <c r="C149" i="1"/>
  <c r="A148" i="1"/>
  <c r="CN142" i="1"/>
  <c r="CM142" i="1"/>
  <c r="CJ142" i="1"/>
  <c r="CI142" i="1"/>
  <c r="CF142" i="1"/>
  <c r="CE142" i="1"/>
  <c r="CB142" i="1"/>
  <c r="CA142" i="1"/>
  <c r="BX142" i="1"/>
  <c r="BW142" i="1"/>
  <c r="BT142" i="1"/>
  <c r="BS142" i="1"/>
  <c r="BP142" i="1"/>
  <c r="BO142" i="1"/>
  <c r="BL142" i="1"/>
  <c r="BK142" i="1"/>
  <c r="BH142" i="1"/>
  <c r="BG142" i="1"/>
  <c r="BD142" i="1"/>
  <c r="BC142" i="1"/>
  <c r="AZ142" i="1"/>
  <c r="AY142" i="1"/>
  <c r="AV142" i="1"/>
  <c r="AU142" i="1"/>
  <c r="AR142" i="1"/>
  <c r="AQ142" i="1"/>
  <c r="AN142" i="1"/>
  <c r="AM142" i="1"/>
  <c r="AJ142" i="1"/>
  <c r="AI142" i="1"/>
  <c r="AF142" i="1"/>
  <c r="AE142" i="1"/>
  <c r="AB142" i="1"/>
  <c r="AA142" i="1"/>
  <c r="X142" i="1"/>
  <c r="W142" i="1"/>
  <c r="T142" i="1"/>
  <c r="S142" i="1"/>
  <c r="P142" i="1"/>
  <c r="O142" i="1"/>
  <c r="L142" i="1"/>
  <c r="K142" i="1"/>
  <c r="H142" i="1"/>
  <c r="G142" i="1"/>
  <c r="D142" i="1"/>
  <c r="C142" i="1"/>
  <c r="CN141" i="1"/>
  <c r="CM141" i="1"/>
  <c r="CJ141" i="1"/>
  <c r="CI141" i="1"/>
  <c r="CF141" i="1"/>
  <c r="CE141" i="1"/>
  <c r="CB141" i="1"/>
  <c r="CA141" i="1"/>
  <c r="BX141" i="1"/>
  <c r="BW141" i="1"/>
  <c r="BT141" i="1"/>
  <c r="BS141" i="1"/>
  <c r="BP141" i="1"/>
  <c r="BO141" i="1"/>
  <c r="BL141" i="1"/>
  <c r="BK141" i="1"/>
  <c r="BH141" i="1"/>
  <c r="BG141" i="1"/>
  <c r="BD141" i="1"/>
  <c r="BC141" i="1"/>
  <c r="AZ141" i="1"/>
  <c r="AY141" i="1"/>
  <c r="AV141" i="1"/>
  <c r="AU141" i="1"/>
  <c r="AR141" i="1"/>
  <c r="AQ141" i="1"/>
  <c r="AN141" i="1"/>
  <c r="AM141" i="1"/>
  <c r="AJ141" i="1"/>
  <c r="AI141" i="1"/>
  <c r="AF141" i="1"/>
  <c r="AE141" i="1"/>
  <c r="AB141" i="1"/>
  <c r="AA141" i="1"/>
  <c r="X141" i="1"/>
  <c r="W141" i="1"/>
  <c r="T141" i="1"/>
  <c r="S141" i="1"/>
  <c r="P141" i="1"/>
  <c r="O141" i="1"/>
  <c r="L141" i="1"/>
  <c r="K141" i="1"/>
  <c r="H141" i="1"/>
  <c r="G141" i="1"/>
  <c r="D141" i="1"/>
  <c r="C141" i="1"/>
  <c r="CN140" i="1"/>
  <c r="CM140" i="1"/>
  <c r="CJ140" i="1"/>
  <c r="CI140" i="1"/>
  <c r="CF140" i="1"/>
  <c r="CE140" i="1"/>
  <c r="CB140" i="1"/>
  <c r="CA140" i="1"/>
  <c r="BX140" i="1"/>
  <c r="BW140" i="1"/>
  <c r="BT140" i="1"/>
  <c r="BS140" i="1"/>
  <c r="BP140" i="1"/>
  <c r="BO140" i="1"/>
  <c r="BL140" i="1"/>
  <c r="BK140" i="1"/>
  <c r="BH140" i="1"/>
  <c r="BG140" i="1"/>
  <c r="BD140" i="1"/>
  <c r="BC140" i="1"/>
  <c r="AZ140" i="1"/>
  <c r="AY140" i="1"/>
  <c r="AV140" i="1"/>
  <c r="AU140" i="1"/>
  <c r="AR140" i="1"/>
  <c r="AQ140" i="1"/>
  <c r="AN140" i="1"/>
  <c r="AM140" i="1"/>
  <c r="AJ140" i="1"/>
  <c r="AI140" i="1"/>
  <c r="AF140" i="1"/>
  <c r="AE140" i="1"/>
  <c r="AB140" i="1"/>
  <c r="AA140" i="1"/>
  <c r="X140" i="1"/>
  <c r="W140" i="1"/>
  <c r="T140" i="1"/>
  <c r="S140" i="1"/>
  <c r="P140" i="1"/>
  <c r="O140" i="1"/>
  <c r="L140" i="1"/>
  <c r="K140" i="1"/>
  <c r="H140" i="1"/>
  <c r="G140" i="1"/>
  <c r="D140" i="1"/>
  <c r="C140" i="1"/>
  <c r="CN133" i="1"/>
  <c r="CM133" i="1"/>
  <c r="CJ133" i="1"/>
  <c r="CI133" i="1"/>
  <c r="CF133" i="1"/>
  <c r="CE133" i="1"/>
  <c r="CB133" i="1"/>
  <c r="CA133" i="1"/>
  <c r="BX133" i="1"/>
  <c r="BW133" i="1"/>
  <c r="BT133" i="1"/>
  <c r="BS133" i="1"/>
  <c r="BP133" i="1"/>
  <c r="BO133" i="1"/>
  <c r="BL133" i="1"/>
  <c r="BK133" i="1"/>
  <c r="BH133" i="1"/>
  <c r="BG133" i="1"/>
  <c r="BD133" i="1"/>
  <c r="BC133" i="1"/>
  <c r="AZ133" i="1"/>
  <c r="AY133" i="1"/>
  <c r="AV133" i="1"/>
  <c r="AU133" i="1"/>
  <c r="AR133" i="1"/>
  <c r="AQ133" i="1"/>
  <c r="AN133" i="1"/>
  <c r="AM133" i="1"/>
  <c r="AJ133" i="1"/>
  <c r="AI133" i="1"/>
  <c r="AF133" i="1"/>
  <c r="AE133" i="1"/>
  <c r="AB133" i="1"/>
  <c r="AA133" i="1"/>
  <c r="X133" i="1"/>
  <c r="W133" i="1"/>
  <c r="T133" i="1"/>
  <c r="S133" i="1"/>
  <c r="P133" i="1"/>
  <c r="O133" i="1"/>
  <c r="L133" i="1"/>
  <c r="K133" i="1"/>
  <c r="H133" i="1"/>
  <c r="G133" i="1"/>
  <c r="D133" i="1"/>
  <c r="C133" i="1"/>
  <c r="CN132" i="1"/>
  <c r="CM132" i="1"/>
  <c r="CJ132" i="1"/>
  <c r="CI132" i="1"/>
  <c r="CF132" i="1"/>
  <c r="CE132" i="1"/>
  <c r="CB132" i="1"/>
  <c r="CA132" i="1"/>
  <c r="BX132" i="1"/>
  <c r="BW132" i="1"/>
  <c r="BT132" i="1"/>
  <c r="BS132" i="1"/>
  <c r="BP132" i="1"/>
  <c r="BO132" i="1"/>
  <c r="BL132" i="1"/>
  <c r="BK132" i="1"/>
  <c r="BH132" i="1"/>
  <c r="BG132" i="1"/>
  <c r="BD132" i="1"/>
  <c r="BC132" i="1"/>
  <c r="AZ132" i="1"/>
  <c r="AY132" i="1"/>
  <c r="AV132" i="1"/>
  <c r="AU132" i="1"/>
  <c r="AR132" i="1"/>
  <c r="AQ132" i="1"/>
  <c r="AN132" i="1"/>
  <c r="AM132" i="1"/>
  <c r="AJ132" i="1"/>
  <c r="AI132" i="1"/>
  <c r="AF132" i="1"/>
  <c r="AE132" i="1"/>
  <c r="AB132" i="1"/>
  <c r="AA132" i="1"/>
  <c r="X132" i="1"/>
  <c r="W132" i="1"/>
  <c r="T132" i="1"/>
  <c r="S132" i="1"/>
  <c r="P132" i="1"/>
  <c r="O132" i="1"/>
  <c r="L132" i="1"/>
  <c r="K132" i="1"/>
  <c r="H132" i="1"/>
  <c r="G132" i="1"/>
  <c r="D132" i="1"/>
  <c r="C132" i="1"/>
  <c r="CN131" i="1"/>
  <c r="CM131" i="1"/>
  <c r="CJ131" i="1"/>
  <c r="CI131" i="1"/>
  <c r="CF131" i="1"/>
  <c r="CE131" i="1"/>
  <c r="CB131" i="1"/>
  <c r="CA131" i="1"/>
  <c r="BX131" i="1"/>
  <c r="BW131" i="1"/>
  <c r="BT131" i="1"/>
  <c r="BS131" i="1"/>
  <c r="BP131" i="1"/>
  <c r="BO131" i="1"/>
  <c r="BL131" i="1"/>
  <c r="BK131" i="1"/>
  <c r="BH131" i="1"/>
  <c r="BG131" i="1"/>
  <c r="BD131" i="1"/>
  <c r="BC131" i="1"/>
  <c r="AZ131" i="1"/>
  <c r="AY131" i="1"/>
  <c r="AV131" i="1"/>
  <c r="AU131" i="1"/>
  <c r="AR131" i="1"/>
  <c r="AQ131" i="1"/>
  <c r="AN131" i="1"/>
  <c r="AM131" i="1"/>
  <c r="AJ131" i="1"/>
  <c r="AI131" i="1"/>
  <c r="AF131" i="1"/>
  <c r="AE131" i="1"/>
  <c r="AB131" i="1"/>
  <c r="AA131" i="1"/>
  <c r="X131" i="1"/>
  <c r="W131" i="1"/>
  <c r="T131" i="1"/>
  <c r="S131" i="1"/>
  <c r="P131" i="1"/>
  <c r="O131" i="1"/>
  <c r="L131" i="1"/>
  <c r="K131" i="1"/>
  <c r="H131" i="1"/>
  <c r="G131" i="1"/>
  <c r="D131" i="1"/>
  <c r="C131" i="1"/>
  <c r="CN130" i="1"/>
  <c r="CM130" i="1"/>
  <c r="CJ130" i="1"/>
  <c r="CI130" i="1"/>
  <c r="CF130" i="1"/>
  <c r="CE130" i="1"/>
  <c r="CB130" i="1"/>
  <c r="CA130" i="1"/>
  <c r="BX130" i="1"/>
  <c r="BW130" i="1"/>
  <c r="BT130" i="1"/>
  <c r="BS130" i="1"/>
  <c r="BP130" i="1"/>
  <c r="BO130" i="1"/>
  <c r="BL130" i="1"/>
  <c r="BK130" i="1"/>
  <c r="BH130" i="1"/>
  <c r="BG130" i="1"/>
  <c r="BD130" i="1"/>
  <c r="BC130" i="1"/>
  <c r="AZ130" i="1"/>
  <c r="AY130" i="1"/>
  <c r="AV130" i="1"/>
  <c r="AU130" i="1"/>
  <c r="AR130" i="1"/>
  <c r="AQ130" i="1"/>
  <c r="AN130" i="1"/>
  <c r="AM130" i="1"/>
  <c r="AJ130" i="1"/>
  <c r="AI130" i="1"/>
  <c r="AF130" i="1"/>
  <c r="AE130" i="1"/>
  <c r="AB130" i="1"/>
  <c r="AA130" i="1"/>
  <c r="X130" i="1"/>
  <c r="W130" i="1"/>
  <c r="T130" i="1"/>
  <c r="S130" i="1"/>
  <c r="P130" i="1"/>
  <c r="O130" i="1"/>
  <c r="L130" i="1"/>
  <c r="K130" i="1"/>
  <c r="H130" i="1"/>
  <c r="G130" i="1"/>
  <c r="D130" i="1"/>
  <c r="C130" i="1"/>
  <c r="CN129" i="1"/>
  <c r="CM129" i="1"/>
  <c r="CJ129" i="1"/>
  <c r="CI129" i="1"/>
  <c r="CF129" i="1"/>
  <c r="CE129" i="1"/>
  <c r="CB129" i="1"/>
  <c r="CA129" i="1"/>
  <c r="BX129" i="1"/>
  <c r="BW129" i="1"/>
  <c r="BT129" i="1"/>
  <c r="BS129" i="1"/>
  <c r="BP129" i="1"/>
  <c r="BO129" i="1"/>
  <c r="BL129" i="1"/>
  <c r="BK129" i="1"/>
  <c r="BH129" i="1"/>
  <c r="BG129" i="1"/>
  <c r="BD129" i="1"/>
  <c r="BC129" i="1"/>
  <c r="AZ129" i="1"/>
  <c r="AY129" i="1"/>
  <c r="AV129" i="1"/>
  <c r="AU129" i="1"/>
  <c r="AR129" i="1"/>
  <c r="AQ129" i="1"/>
  <c r="AN129" i="1"/>
  <c r="AM129" i="1"/>
  <c r="AJ129" i="1"/>
  <c r="AI129" i="1"/>
  <c r="AF129" i="1"/>
  <c r="AE129" i="1"/>
  <c r="AB129" i="1"/>
  <c r="AA129" i="1"/>
  <c r="X129" i="1"/>
  <c r="W129" i="1"/>
  <c r="T129" i="1"/>
  <c r="S129" i="1"/>
  <c r="P129" i="1"/>
  <c r="O129" i="1"/>
  <c r="L129" i="1"/>
  <c r="K129" i="1"/>
  <c r="H129" i="1"/>
  <c r="G129" i="1"/>
  <c r="D129" i="1"/>
  <c r="C129" i="1"/>
  <c r="CN128" i="1"/>
  <c r="CM128" i="1"/>
  <c r="CJ128" i="1"/>
  <c r="CI128" i="1"/>
  <c r="CF128" i="1"/>
  <c r="CE128" i="1"/>
  <c r="CB128" i="1"/>
  <c r="CA128" i="1"/>
  <c r="BX128" i="1"/>
  <c r="BW128" i="1"/>
  <c r="BT128" i="1"/>
  <c r="BS128" i="1"/>
  <c r="BP128" i="1"/>
  <c r="BO128" i="1"/>
  <c r="BL128" i="1"/>
  <c r="BK128" i="1"/>
  <c r="BH128" i="1"/>
  <c r="BG128" i="1"/>
  <c r="BD128" i="1"/>
  <c r="BC128" i="1"/>
  <c r="AZ128" i="1"/>
  <c r="AY128" i="1"/>
  <c r="AV128" i="1"/>
  <c r="AU128" i="1"/>
  <c r="AR128" i="1"/>
  <c r="AQ128" i="1"/>
  <c r="AN128" i="1"/>
  <c r="AM128" i="1"/>
  <c r="AJ128" i="1"/>
  <c r="AI128" i="1"/>
  <c r="AF128" i="1"/>
  <c r="AE128" i="1"/>
  <c r="AB128" i="1"/>
  <c r="AA128" i="1"/>
  <c r="X128" i="1"/>
  <c r="W128" i="1"/>
  <c r="T128" i="1"/>
  <c r="S128" i="1"/>
  <c r="P128" i="1"/>
  <c r="O128" i="1"/>
  <c r="L128" i="1"/>
  <c r="K128" i="1"/>
  <c r="H128" i="1"/>
  <c r="G128" i="1"/>
  <c r="D128" i="1"/>
  <c r="C128" i="1"/>
  <c r="CN127" i="1"/>
  <c r="CM127" i="1"/>
  <c r="CJ127" i="1"/>
  <c r="CI127" i="1"/>
  <c r="CF127" i="1"/>
  <c r="CE127" i="1"/>
  <c r="CB127" i="1"/>
  <c r="CA127" i="1"/>
  <c r="BX127" i="1"/>
  <c r="BW127" i="1"/>
  <c r="BT127" i="1"/>
  <c r="BS127" i="1"/>
  <c r="BP127" i="1"/>
  <c r="BO127" i="1"/>
  <c r="BL127" i="1"/>
  <c r="BK127" i="1"/>
  <c r="BH127" i="1"/>
  <c r="BG127" i="1"/>
  <c r="BD127" i="1"/>
  <c r="BC127" i="1"/>
  <c r="AZ127" i="1"/>
  <c r="AY127" i="1"/>
  <c r="AV127" i="1"/>
  <c r="AU127" i="1"/>
  <c r="AR127" i="1"/>
  <c r="AQ127" i="1"/>
  <c r="AN127" i="1"/>
  <c r="AM127" i="1"/>
  <c r="AJ127" i="1"/>
  <c r="AI127" i="1"/>
  <c r="AF127" i="1"/>
  <c r="AE127" i="1"/>
  <c r="AB127" i="1"/>
  <c r="AA127" i="1"/>
  <c r="X127" i="1"/>
  <c r="W127" i="1"/>
  <c r="T127" i="1"/>
  <c r="S127" i="1"/>
  <c r="P127" i="1"/>
  <c r="O127" i="1"/>
  <c r="L127" i="1"/>
  <c r="K127" i="1"/>
  <c r="H127" i="1"/>
  <c r="G127" i="1"/>
  <c r="D127" i="1"/>
  <c r="C127" i="1"/>
  <c r="CN120" i="1"/>
  <c r="CM120" i="1"/>
  <c r="CJ120" i="1"/>
  <c r="CI120" i="1"/>
  <c r="CF120" i="1"/>
  <c r="CE120" i="1"/>
  <c r="CB120" i="1"/>
  <c r="CA120" i="1"/>
  <c r="BX120" i="1"/>
  <c r="BW120" i="1"/>
  <c r="BT120" i="1"/>
  <c r="BS120" i="1"/>
  <c r="BP120" i="1"/>
  <c r="BO120" i="1"/>
  <c r="BL120" i="1"/>
  <c r="BK120" i="1"/>
  <c r="BH120" i="1"/>
  <c r="BG120" i="1"/>
  <c r="BD120" i="1"/>
  <c r="BC120" i="1"/>
  <c r="AZ120" i="1"/>
  <c r="AY120" i="1"/>
  <c r="AV120" i="1"/>
  <c r="AU120" i="1"/>
  <c r="AR120" i="1"/>
  <c r="AQ120" i="1"/>
  <c r="AN120" i="1"/>
  <c r="AM120" i="1"/>
  <c r="AJ120" i="1"/>
  <c r="AI120" i="1"/>
  <c r="AF120" i="1"/>
  <c r="AE120" i="1"/>
  <c r="AB120" i="1"/>
  <c r="AA120" i="1"/>
  <c r="X120" i="1"/>
  <c r="W120" i="1"/>
  <c r="T120" i="1"/>
  <c r="S120" i="1"/>
  <c r="P120" i="1"/>
  <c r="O120" i="1"/>
  <c r="L120" i="1"/>
  <c r="K120" i="1"/>
  <c r="H120" i="1"/>
  <c r="G120" i="1"/>
  <c r="D120" i="1"/>
  <c r="C120" i="1"/>
  <c r="CN119" i="1"/>
  <c r="CM119" i="1"/>
  <c r="CJ119" i="1"/>
  <c r="CI119" i="1"/>
  <c r="CF119" i="1"/>
  <c r="CE119" i="1"/>
  <c r="CB119" i="1"/>
  <c r="CA119" i="1"/>
  <c r="BX119" i="1"/>
  <c r="BW119" i="1"/>
  <c r="BT119" i="1"/>
  <c r="BS119" i="1"/>
  <c r="BP119" i="1"/>
  <c r="BO119" i="1"/>
  <c r="BL119" i="1"/>
  <c r="BK119" i="1"/>
  <c r="BH119" i="1"/>
  <c r="BG119" i="1"/>
  <c r="BD119" i="1"/>
  <c r="BC119" i="1"/>
  <c r="AZ119" i="1"/>
  <c r="AY119" i="1"/>
  <c r="AV119" i="1"/>
  <c r="AU119" i="1"/>
  <c r="AR119" i="1"/>
  <c r="AQ119" i="1"/>
  <c r="AN119" i="1"/>
  <c r="AM119" i="1"/>
  <c r="AJ119" i="1"/>
  <c r="AI119" i="1"/>
  <c r="AF119" i="1"/>
  <c r="AE119" i="1"/>
  <c r="AB119" i="1"/>
  <c r="AA119" i="1"/>
  <c r="X119" i="1"/>
  <c r="W119" i="1"/>
  <c r="T119" i="1"/>
  <c r="S119" i="1"/>
  <c r="P119" i="1"/>
  <c r="O119" i="1"/>
  <c r="L119" i="1"/>
  <c r="K119" i="1"/>
  <c r="H119" i="1"/>
  <c r="G119" i="1"/>
  <c r="D119" i="1"/>
  <c r="C119" i="1"/>
  <c r="CN118" i="1"/>
  <c r="CM118" i="1"/>
  <c r="CJ118" i="1"/>
  <c r="CI118" i="1"/>
  <c r="CF118" i="1"/>
  <c r="CE118" i="1"/>
  <c r="CB118" i="1"/>
  <c r="CA118" i="1"/>
  <c r="BX118" i="1"/>
  <c r="BW118" i="1"/>
  <c r="BT118" i="1"/>
  <c r="BS118" i="1"/>
  <c r="BP118" i="1"/>
  <c r="BO118" i="1"/>
  <c r="BL118" i="1"/>
  <c r="BK118" i="1"/>
  <c r="BH118" i="1"/>
  <c r="BG118" i="1"/>
  <c r="BD118" i="1"/>
  <c r="BC118" i="1"/>
  <c r="AZ118" i="1"/>
  <c r="AY118" i="1"/>
  <c r="AV118" i="1"/>
  <c r="AU118" i="1"/>
  <c r="AR118" i="1"/>
  <c r="AQ118" i="1"/>
  <c r="AN118" i="1"/>
  <c r="AM118" i="1"/>
  <c r="AJ118" i="1"/>
  <c r="AI118" i="1"/>
  <c r="AF118" i="1"/>
  <c r="AE118" i="1"/>
  <c r="AB118" i="1"/>
  <c r="AA118" i="1"/>
  <c r="X118" i="1"/>
  <c r="W118" i="1"/>
  <c r="T118" i="1"/>
  <c r="S118" i="1"/>
  <c r="P118" i="1"/>
  <c r="O118" i="1"/>
  <c r="L118" i="1"/>
  <c r="K118" i="1"/>
  <c r="H118" i="1"/>
  <c r="G118" i="1"/>
  <c r="D118" i="1"/>
  <c r="C118" i="1"/>
  <c r="CN117" i="1"/>
  <c r="CM117" i="1"/>
  <c r="CJ117" i="1"/>
  <c r="CI117" i="1"/>
  <c r="CF117" i="1"/>
  <c r="CE117" i="1"/>
  <c r="CB117" i="1"/>
  <c r="CA117" i="1"/>
  <c r="BX117" i="1"/>
  <c r="BW117" i="1"/>
  <c r="BT117" i="1"/>
  <c r="BS117" i="1"/>
  <c r="BP117" i="1"/>
  <c r="BO117" i="1"/>
  <c r="BL117" i="1"/>
  <c r="BK117" i="1"/>
  <c r="BH117" i="1"/>
  <c r="BG117" i="1"/>
  <c r="BD117" i="1"/>
  <c r="BC117" i="1"/>
  <c r="AZ117" i="1"/>
  <c r="AY117" i="1"/>
  <c r="AV117" i="1"/>
  <c r="AU117" i="1"/>
  <c r="AR117" i="1"/>
  <c r="AQ117" i="1"/>
  <c r="AN117" i="1"/>
  <c r="AM117" i="1"/>
  <c r="AJ117" i="1"/>
  <c r="AI117" i="1"/>
  <c r="AF117" i="1"/>
  <c r="AE117" i="1"/>
  <c r="AB117" i="1"/>
  <c r="AA117" i="1"/>
  <c r="X117" i="1"/>
  <c r="W117" i="1"/>
  <c r="T117" i="1"/>
  <c r="S117" i="1"/>
  <c r="P117" i="1"/>
  <c r="O117" i="1"/>
  <c r="L117" i="1"/>
  <c r="K117" i="1"/>
  <c r="H117" i="1"/>
  <c r="G117" i="1"/>
  <c r="D117" i="1"/>
  <c r="C117" i="1"/>
  <c r="CN116" i="1"/>
  <c r="CM116" i="1"/>
  <c r="CJ116" i="1"/>
  <c r="CI116" i="1"/>
  <c r="CF116" i="1"/>
  <c r="CE116" i="1"/>
  <c r="CB116" i="1"/>
  <c r="CA116" i="1"/>
  <c r="BX116" i="1"/>
  <c r="BW116" i="1"/>
  <c r="BT116" i="1"/>
  <c r="BS116" i="1"/>
  <c r="BP116" i="1"/>
  <c r="BO116" i="1"/>
  <c r="BL116" i="1"/>
  <c r="BK116" i="1"/>
  <c r="BH116" i="1"/>
  <c r="BG116" i="1"/>
  <c r="BD116" i="1"/>
  <c r="BC116" i="1"/>
  <c r="AZ116" i="1"/>
  <c r="AY116" i="1"/>
  <c r="AV116" i="1"/>
  <c r="AU116" i="1"/>
  <c r="AR116" i="1"/>
  <c r="AQ116" i="1"/>
  <c r="AN116" i="1"/>
  <c r="AM116" i="1"/>
  <c r="AJ116" i="1"/>
  <c r="AI116" i="1"/>
  <c r="AF116" i="1"/>
  <c r="AE116" i="1"/>
  <c r="AB116" i="1"/>
  <c r="AA116" i="1"/>
  <c r="X116" i="1"/>
  <c r="W116" i="1"/>
  <c r="T116" i="1"/>
  <c r="S116" i="1"/>
  <c r="P116" i="1"/>
  <c r="O116" i="1"/>
  <c r="L116" i="1"/>
  <c r="K116" i="1"/>
  <c r="H116" i="1"/>
  <c r="G116" i="1"/>
  <c r="D116" i="1"/>
  <c r="C116" i="1"/>
  <c r="CN115" i="1"/>
  <c r="CM115" i="1"/>
  <c r="CJ115" i="1"/>
  <c r="CI115" i="1"/>
  <c r="CF115" i="1"/>
  <c r="CE115" i="1"/>
  <c r="CB115" i="1"/>
  <c r="CA115" i="1"/>
  <c r="BX115" i="1"/>
  <c r="BW115" i="1"/>
  <c r="BT115" i="1"/>
  <c r="BS115" i="1"/>
  <c r="BP115" i="1"/>
  <c r="BO115" i="1"/>
  <c r="BL115" i="1"/>
  <c r="BK115" i="1"/>
  <c r="BH115" i="1"/>
  <c r="BG115" i="1"/>
  <c r="BD115" i="1"/>
  <c r="BC115" i="1"/>
  <c r="AZ115" i="1"/>
  <c r="AY115" i="1"/>
  <c r="AV115" i="1"/>
  <c r="AU115" i="1"/>
  <c r="AR115" i="1"/>
  <c r="AQ115" i="1"/>
  <c r="AN115" i="1"/>
  <c r="AM115" i="1"/>
  <c r="AJ115" i="1"/>
  <c r="AI115" i="1"/>
  <c r="AF115" i="1"/>
  <c r="AE115" i="1"/>
  <c r="AB115" i="1"/>
  <c r="AA115" i="1"/>
  <c r="X115" i="1"/>
  <c r="W115" i="1"/>
  <c r="T115" i="1"/>
  <c r="S115" i="1"/>
  <c r="P115" i="1"/>
  <c r="O115" i="1"/>
  <c r="L115" i="1"/>
  <c r="K115" i="1"/>
  <c r="H115" i="1"/>
  <c r="G115" i="1"/>
  <c r="D115" i="1"/>
  <c r="C115" i="1"/>
  <c r="A114" i="1"/>
  <c r="CN108" i="1"/>
  <c r="CM108" i="1"/>
  <c r="CJ108" i="1"/>
  <c r="CI108" i="1"/>
  <c r="CF108" i="1"/>
  <c r="CE108" i="1"/>
  <c r="CB108" i="1"/>
  <c r="CA108" i="1"/>
  <c r="BX108" i="1"/>
  <c r="BW108" i="1"/>
  <c r="BT108" i="1"/>
  <c r="BS108" i="1"/>
  <c r="BP108" i="1"/>
  <c r="BO108" i="1"/>
  <c r="BL108" i="1"/>
  <c r="BK108" i="1"/>
  <c r="BH108" i="1"/>
  <c r="BG108" i="1"/>
  <c r="BD108" i="1"/>
  <c r="BC108" i="1"/>
  <c r="AZ108" i="1"/>
  <c r="AY108" i="1"/>
  <c r="AV108" i="1"/>
  <c r="AU108" i="1"/>
  <c r="AR108" i="1"/>
  <c r="AQ108" i="1"/>
  <c r="AN108" i="1"/>
  <c r="AM108" i="1"/>
  <c r="AJ108" i="1"/>
  <c r="AI108" i="1"/>
  <c r="AF108" i="1"/>
  <c r="AE108" i="1"/>
  <c r="AB108" i="1"/>
  <c r="AA108" i="1"/>
  <c r="X108" i="1"/>
  <c r="W108" i="1"/>
  <c r="T108" i="1"/>
  <c r="S108" i="1"/>
  <c r="P108" i="1"/>
  <c r="O108" i="1"/>
  <c r="L108" i="1"/>
  <c r="K108" i="1"/>
  <c r="H108" i="1"/>
  <c r="G108" i="1"/>
  <c r="D108" i="1"/>
  <c r="C108" i="1"/>
  <c r="CN107" i="1"/>
  <c r="CM107" i="1"/>
  <c r="CJ107" i="1"/>
  <c r="CI107" i="1"/>
  <c r="CF107" i="1"/>
  <c r="CE107" i="1"/>
  <c r="CB107" i="1"/>
  <c r="CA107" i="1"/>
  <c r="BX107" i="1"/>
  <c r="BW107" i="1"/>
  <c r="BT107" i="1"/>
  <c r="BS107" i="1"/>
  <c r="BP107" i="1"/>
  <c r="BO107" i="1"/>
  <c r="BL107" i="1"/>
  <c r="BK107" i="1"/>
  <c r="BH107" i="1"/>
  <c r="BG107" i="1"/>
  <c r="BD107" i="1"/>
  <c r="BC107" i="1"/>
  <c r="AZ107" i="1"/>
  <c r="AY107" i="1"/>
  <c r="AV107" i="1"/>
  <c r="AU107" i="1"/>
  <c r="AR107" i="1"/>
  <c r="AQ107" i="1"/>
  <c r="AN107" i="1"/>
  <c r="AM107" i="1"/>
  <c r="AJ107" i="1"/>
  <c r="AI107" i="1"/>
  <c r="AF107" i="1"/>
  <c r="AE107" i="1"/>
  <c r="AB107" i="1"/>
  <c r="AA107" i="1"/>
  <c r="X107" i="1"/>
  <c r="W107" i="1"/>
  <c r="T107" i="1"/>
  <c r="S107" i="1"/>
  <c r="P107" i="1"/>
  <c r="O107" i="1"/>
  <c r="L107" i="1"/>
  <c r="K107" i="1"/>
  <c r="H107" i="1"/>
  <c r="G107" i="1"/>
  <c r="D107" i="1"/>
  <c r="C107" i="1"/>
  <c r="A106" i="1"/>
  <c r="CN100" i="1"/>
  <c r="CM100" i="1"/>
  <c r="CJ100" i="1"/>
  <c r="CI100" i="1"/>
  <c r="CF100" i="1"/>
  <c r="CE100" i="1"/>
  <c r="CB100" i="1"/>
  <c r="CA100" i="1"/>
  <c r="BX100" i="1"/>
  <c r="BW100" i="1"/>
  <c r="BT100" i="1"/>
  <c r="BS100" i="1"/>
  <c r="BP100" i="1"/>
  <c r="BO100" i="1"/>
  <c r="BL100" i="1"/>
  <c r="BK100" i="1"/>
  <c r="BH100" i="1"/>
  <c r="BG100" i="1"/>
  <c r="BD100" i="1"/>
  <c r="BC100" i="1"/>
  <c r="AZ100" i="1"/>
  <c r="AY100" i="1"/>
  <c r="AV100" i="1"/>
  <c r="AU100" i="1"/>
  <c r="AR100" i="1"/>
  <c r="AQ100" i="1"/>
  <c r="AN100" i="1"/>
  <c r="AM100" i="1"/>
  <c r="AJ100" i="1"/>
  <c r="AI100" i="1"/>
  <c r="AF100" i="1"/>
  <c r="AE100" i="1"/>
  <c r="AB100" i="1"/>
  <c r="AA100" i="1"/>
  <c r="X100" i="1"/>
  <c r="W100" i="1"/>
  <c r="T100" i="1"/>
  <c r="S100" i="1"/>
  <c r="P100" i="1"/>
  <c r="O100" i="1"/>
  <c r="L100" i="1"/>
  <c r="K100" i="1"/>
  <c r="H100" i="1"/>
  <c r="G100" i="1"/>
  <c r="D100" i="1"/>
  <c r="C100" i="1"/>
  <c r="CN99" i="1"/>
  <c r="CM99" i="1"/>
  <c r="CJ99" i="1"/>
  <c r="CI99" i="1"/>
  <c r="CF99" i="1"/>
  <c r="CE99" i="1"/>
  <c r="CB99" i="1"/>
  <c r="CA99" i="1"/>
  <c r="BX99" i="1"/>
  <c r="BW99" i="1"/>
  <c r="BT99" i="1"/>
  <c r="BS99" i="1"/>
  <c r="BP99" i="1"/>
  <c r="BO99" i="1"/>
  <c r="BL99" i="1"/>
  <c r="BK99" i="1"/>
  <c r="BH99" i="1"/>
  <c r="BG99" i="1"/>
  <c r="BD99" i="1"/>
  <c r="BC99" i="1"/>
  <c r="AZ99" i="1"/>
  <c r="AY99" i="1"/>
  <c r="AV99" i="1"/>
  <c r="AU99" i="1"/>
  <c r="AR99" i="1"/>
  <c r="AQ99" i="1"/>
  <c r="AN99" i="1"/>
  <c r="AM99" i="1"/>
  <c r="AJ99" i="1"/>
  <c r="AI99" i="1"/>
  <c r="AF99" i="1"/>
  <c r="AE99" i="1"/>
  <c r="AB99" i="1"/>
  <c r="AA99" i="1"/>
  <c r="X99" i="1"/>
  <c r="W99" i="1"/>
  <c r="T99" i="1"/>
  <c r="S99" i="1"/>
  <c r="P99" i="1"/>
  <c r="O99" i="1"/>
  <c r="L99" i="1"/>
  <c r="K99" i="1"/>
  <c r="H99" i="1"/>
  <c r="G99" i="1"/>
  <c r="D99" i="1"/>
  <c r="C99" i="1"/>
  <c r="CN98" i="1"/>
  <c r="CM98" i="1"/>
  <c r="CJ98" i="1"/>
  <c r="CI98" i="1"/>
  <c r="CF98" i="1"/>
  <c r="CE98" i="1"/>
  <c r="CB98" i="1"/>
  <c r="CA98" i="1"/>
  <c r="BX98" i="1"/>
  <c r="BW98" i="1"/>
  <c r="BT98" i="1"/>
  <c r="BS98" i="1"/>
  <c r="BP98" i="1"/>
  <c r="BO98" i="1"/>
  <c r="BL98" i="1"/>
  <c r="BK98" i="1"/>
  <c r="BH98" i="1"/>
  <c r="BG98" i="1"/>
  <c r="BD98" i="1"/>
  <c r="BC98" i="1"/>
  <c r="AZ98" i="1"/>
  <c r="AY98" i="1"/>
  <c r="AV98" i="1"/>
  <c r="AU98" i="1"/>
  <c r="AR98" i="1"/>
  <c r="AQ98" i="1"/>
  <c r="AN98" i="1"/>
  <c r="AM98" i="1"/>
  <c r="AJ98" i="1"/>
  <c r="AI98" i="1"/>
  <c r="AF98" i="1"/>
  <c r="AE98" i="1"/>
  <c r="AB98" i="1"/>
  <c r="AA98" i="1"/>
  <c r="X98" i="1"/>
  <c r="W98" i="1"/>
  <c r="T98" i="1"/>
  <c r="S98" i="1"/>
  <c r="P98" i="1"/>
  <c r="O98" i="1"/>
  <c r="L98" i="1"/>
  <c r="K98" i="1"/>
  <c r="H98" i="1"/>
  <c r="G98" i="1"/>
  <c r="D98" i="1"/>
  <c r="C98" i="1"/>
  <c r="CN91" i="1"/>
  <c r="CM91" i="1"/>
  <c r="CJ91" i="1"/>
  <c r="CI91" i="1"/>
  <c r="CF91" i="1"/>
  <c r="CE91" i="1"/>
  <c r="CB91" i="1"/>
  <c r="CA91" i="1"/>
  <c r="BX91" i="1"/>
  <c r="BW91" i="1"/>
  <c r="BT91" i="1"/>
  <c r="BS91" i="1"/>
  <c r="BP91" i="1"/>
  <c r="BO91" i="1"/>
  <c r="BL91" i="1"/>
  <c r="BK91" i="1"/>
  <c r="BH91" i="1"/>
  <c r="BG91" i="1"/>
  <c r="BD91" i="1"/>
  <c r="BC91" i="1"/>
  <c r="AZ91" i="1"/>
  <c r="AY91" i="1"/>
  <c r="AV91" i="1"/>
  <c r="AU91" i="1"/>
  <c r="AR91" i="1"/>
  <c r="AQ91" i="1"/>
  <c r="AN91" i="1"/>
  <c r="AM91" i="1"/>
  <c r="AJ91" i="1"/>
  <c r="AI91" i="1"/>
  <c r="AF91" i="1"/>
  <c r="AE91" i="1"/>
  <c r="AB91" i="1"/>
  <c r="AA91" i="1"/>
  <c r="X91" i="1"/>
  <c r="W91" i="1"/>
  <c r="T91" i="1"/>
  <c r="S91" i="1"/>
  <c r="P91" i="1"/>
  <c r="O91" i="1"/>
  <c r="L91" i="1"/>
  <c r="K91" i="1"/>
  <c r="H91" i="1"/>
  <c r="G91" i="1"/>
  <c r="D91" i="1"/>
  <c r="C91" i="1"/>
  <c r="CN90" i="1"/>
  <c r="CM90" i="1"/>
  <c r="CJ90" i="1"/>
  <c r="CI90" i="1"/>
  <c r="CF90" i="1"/>
  <c r="CE90" i="1"/>
  <c r="CB90" i="1"/>
  <c r="CA90" i="1"/>
  <c r="BX90" i="1"/>
  <c r="BW90" i="1"/>
  <c r="BT90" i="1"/>
  <c r="BS90" i="1"/>
  <c r="BP90" i="1"/>
  <c r="BO90" i="1"/>
  <c r="BL90" i="1"/>
  <c r="BK90" i="1"/>
  <c r="BH90" i="1"/>
  <c r="BG90" i="1"/>
  <c r="BD90" i="1"/>
  <c r="BC90" i="1"/>
  <c r="AZ90" i="1"/>
  <c r="AY90" i="1"/>
  <c r="AV90" i="1"/>
  <c r="AU90" i="1"/>
  <c r="AR90" i="1"/>
  <c r="AQ90" i="1"/>
  <c r="AN90" i="1"/>
  <c r="AM90" i="1"/>
  <c r="AJ90" i="1"/>
  <c r="AI90" i="1"/>
  <c r="AF90" i="1"/>
  <c r="AE90" i="1"/>
  <c r="AB90" i="1"/>
  <c r="AA90" i="1"/>
  <c r="X90" i="1"/>
  <c r="W90" i="1"/>
  <c r="T90" i="1"/>
  <c r="S90" i="1"/>
  <c r="P90" i="1"/>
  <c r="O90" i="1"/>
  <c r="L90" i="1"/>
  <c r="K90" i="1"/>
  <c r="H90" i="1"/>
  <c r="G90" i="1"/>
  <c r="D90" i="1"/>
  <c r="C90" i="1"/>
  <c r="CN89" i="1"/>
  <c r="CM89" i="1"/>
  <c r="CJ89" i="1"/>
  <c r="CI89" i="1"/>
  <c r="CF89" i="1"/>
  <c r="CE89" i="1"/>
  <c r="CB89" i="1"/>
  <c r="CA89" i="1"/>
  <c r="BX89" i="1"/>
  <c r="BW89" i="1"/>
  <c r="BT89" i="1"/>
  <c r="BS89" i="1"/>
  <c r="BP89" i="1"/>
  <c r="BO89" i="1"/>
  <c r="BL89" i="1"/>
  <c r="BK89" i="1"/>
  <c r="BH89" i="1"/>
  <c r="BG89" i="1"/>
  <c r="BD89" i="1"/>
  <c r="BC89" i="1"/>
  <c r="AZ89" i="1"/>
  <c r="AY89" i="1"/>
  <c r="AV89" i="1"/>
  <c r="AU89" i="1"/>
  <c r="AR89" i="1"/>
  <c r="AQ89" i="1"/>
  <c r="AN89" i="1"/>
  <c r="AM89" i="1"/>
  <c r="AJ89" i="1"/>
  <c r="AI89" i="1"/>
  <c r="AF89" i="1"/>
  <c r="AE89" i="1"/>
  <c r="AB89" i="1"/>
  <c r="AA89" i="1"/>
  <c r="X89" i="1"/>
  <c r="W89" i="1"/>
  <c r="T89" i="1"/>
  <c r="S89" i="1"/>
  <c r="P89" i="1"/>
  <c r="O89" i="1"/>
  <c r="L89" i="1"/>
  <c r="K89" i="1"/>
  <c r="H89" i="1"/>
  <c r="G89" i="1"/>
  <c r="D89" i="1"/>
  <c r="C89" i="1"/>
  <c r="CN88" i="1"/>
  <c r="CM88" i="1"/>
  <c r="CJ88" i="1"/>
  <c r="CI88" i="1"/>
  <c r="CF88" i="1"/>
  <c r="CE88" i="1"/>
  <c r="CB88" i="1"/>
  <c r="CA88" i="1"/>
  <c r="BX88" i="1"/>
  <c r="BW88" i="1"/>
  <c r="BT88" i="1"/>
  <c r="BS88" i="1"/>
  <c r="BP88" i="1"/>
  <c r="BO88" i="1"/>
  <c r="BL88" i="1"/>
  <c r="BK88" i="1"/>
  <c r="BH88" i="1"/>
  <c r="BG88" i="1"/>
  <c r="BD88" i="1"/>
  <c r="BC88" i="1"/>
  <c r="AZ88" i="1"/>
  <c r="AY88" i="1"/>
  <c r="AV88" i="1"/>
  <c r="AU88" i="1"/>
  <c r="AR88" i="1"/>
  <c r="AQ88" i="1"/>
  <c r="AN88" i="1"/>
  <c r="AM88" i="1"/>
  <c r="AJ88" i="1"/>
  <c r="AI88" i="1"/>
  <c r="AF88" i="1"/>
  <c r="AE88" i="1"/>
  <c r="AB88" i="1"/>
  <c r="AA88" i="1"/>
  <c r="X88" i="1"/>
  <c r="W88" i="1"/>
  <c r="T88" i="1"/>
  <c r="S88" i="1"/>
  <c r="P88" i="1"/>
  <c r="O88" i="1"/>
  <c r="L88" i="1"/>
  <c r="K88" i="1"/>
  <c r="H88" i="1"/>
  <c r="G88" i="1"/>
  <c r="D88" i="1"/>
  <c r="C88" i="1"/>
  <c r="CN87" i="1"/>
  <c r="CM87" i="1"/>
  <c r="CJ87" i="1"/>
  <c r="CI87" i="1"/>
  <c r="CF87" i="1"/>
  <c r="CE87" i="1"/>
  <c r="CB87" i="1"/>
  <c r="CA87" i="1"/>
  <c r="BX87" i="1"/>
  <c r="BW87" i="1"/>
  <c r="BT87" i="1"/>
  <c r="BS87" i="1"/>
  <c r="BP87" i="1"/>
  <c r="BO87" i="1"/>
  <c r="BL87" i="1"/>
  <c r="BK87" i="1"/>
  <c r="BH87" i="1"/>
  <c r="BG87" i="1"/>
  <c r="BD87" i="1"/>
  <c r="BC87" i="1"/>
  <c r="AZ87" i="1"/>
  <c r="AY87" i="1"/>
  <c r="AV87" i="1"/>
  <c r="AU87" i="1"/>
  <c r="AR87" i="1"/>
  <c r="AQ87" i="1"/>
  <c r="AN87" i="1"/>
  <c r="AM87" i="1"/>
  <c r="AJ87" i="1"/>
  <c r="AI87" i="1"/>
  <c r="AF87" i="1"/>
  <c r="AE87" i="1"/>
  <c r="AB87" i="1"/>
  <c r="AA87" i="1"/>
  <c r="X87" i="1"/>
  <c r="W87" i="1"/>
  <c r="T87" i="1"/>
  <c r="S87" i="1"/>
  <c r="P87" i="1"/>
  <c r="O87" i="1"/>
  <c r="L87" i="1"/>
  <c r="K87" i="1"/>
  <c r="H87" i="1"/>
  <c r="G87" i="1"/>
  <c r="D87" i="1"/>
  <c r="C87" i="1"/>
  <c r="CN86" i="1"/>
  <c r="CM86" i="1"/>
  <c r="CJ86" i="1"/>
  <c r="CI86" i="1"/>
  <c r="CF86" i="1"/>
  <c r="CE86" i="1"/>
  <c r="CB86" i="1"/>
  <c r="CA86" i="1"/>
  <c r="BX86" i="1"/>
  <c r="BW86" i="1"/>
  <c r="BT86" i="1"/>
  <c r="BS86" i="1"/>
  <c r="BP86" i="1"/>
  <c r="BO86" i="1"/>
  <c r="BL86" i="1"/>
  <c r="BK86" i="1"/>
  <c r="BH86" i="1"/>
  <c r="BG86" i="1"/>
  <c r="BD86" i="1"/>
  <c r="BC86" i="1"/>
  <c r="AZ86" i="1"/>
  <c r="AY86" i="1"/>
  <c r="AV86" i="1"/>
  <c r="AU86" i="1"/>
  <c r="AR86" i="1"/>
  <c r="AQ86" i="1"/>
  <c r="AN86" i="1"/>
  <c r="AM86" i="1"/>
  <c r="AJ86" i="1"/>
  <c r="AI86" i="1"/>
  <c r="AF86" i="1"/>
  <c r="AE86" i="1"/>
  <c r="AB86" i="1"/>
  <c r="AA86" i="1"/>
  <c r="X86" i="1"/>
  <c r="W86" i="1"/>
  <c r="T86" i="1"/>
  <c r="S86" i="1"/>
  <c r="P86" i="1"/>
  <c r="O86" i="1"/>
  <c r="L86" i="1"/>
  <c r="K86" i="1"/>
  <c r="H86" i="1"/>
  <c r="G86" i="1"/>
  <c r="D86" i="1"/>
  <c r="C86" i="1"/>
  <c r="CN85" i="1"/>
  <c r="CM85" i="1"/>
  <c r="CJ85" i="1"/>
  <c r="CI85" i="1"/>
  <c r="CF85" i="1"/>
  <c r="CE85" i="1"/>
  <c r="CB85" i="1"/>
  <c r="CA85" i="1"/>
  <c r="BX85" i="1"/>
  <c r="BW85" i="1"/>
  <c r="BT85" i="1"/>
  <c r="BS85" i="1"/>
  <c r="BP85" i="1"/>
  <c r="BO85" i="1"/>
  <c r="BL85" i="1"/>
  <c r="BK85" i="1"/>
  <c r="BH85" i="1"/>
  <c r="BG85" i="1"/>
  <c r="BD85" i="1"/>
  <c r="BC85" i="1"/>
  <c r="AZ85" i="1"/>
  <c r="AY85" i="1"/>
  <c r="AV85" i="1"/>
  <c r="AU85" i="1"/>
  <c r="AR85" i="1"/>
  <c r="AQ85" i="1"/>
  <c r="AN85" i="1"/>
  <c r="AM85" i="1"/>
  <c r="AJ85" i="1"/>
  <c r="AI85" i="1"/>
  <c r="AF85" i="1"/>
  <c r="AE85" i="1"/>
  <c r="AB85" i="1"/>
  <c r="AA85" i="1"/>
  <c r="X85" i="1"/>
  <c r="W85" i="1"/>
  <c r="T85" i="1"/>
  <c r="S85" i="1"/>
  <c r="P85" i="1"/>
  <c r="O85" i="1"/>
  <c r="L85" i="1"/>
  <c r="K85" i="1"/>
  <c r="H85" i="1"/>
  <c r="G85" i="1"/>
  <c r="D85" i="1"/>
  <c r="C85" i="1"/>
  <c r="CN78" i="1"/>
  <c r="CM78" i="1"/>
  <c r="CJ78" i="1"/>
  <c r="CI78" i="1"/>
  <c r="CF78" i="1"/>
  <c r="CE78" i="1"/>
  <c r="CB78" i="1"/>
  <c r="CA78" i="1"/>
  <c r="BX78" i="1"/>
  <c r="BW78" i="1"/>
  <c r="BT78" i="1"/>
  <c r="BS78" i="1"/>
  <c r="BP78" i="1"/>
  <c r="BO78" i="1"/>
  <c r="BL78" i="1"/>
  <c r="BK78" i="1"/>
  <c r="BH78" i="1"/>
  <c r="BG78" i="1"/>
  <c r="BD78" i="1"/>
  <c r="BC78" i="1"/>
  <c r="AZ78" i="1"/>
  <c r="AY78" i="1"/>
  <c r="AV78" i="1"/>
  <c r="AU78" i="1"/>
  <c r="AR78" i="1"/>
  <c r="AQ78" i="1"/>
  <c r="AN78" i="1"/>
  <c r="AM78" i="1"/>
  <c r="AJ78" i="1"/>
  <c r="AI78" i="1"/>
  <c r="AF78" i="1"/>
  <c r="AE78" i="1"/>
  <c r="AB78" i="1"/>
  <c r="AA78" i="1"/>
  <c r="X78" i="1"/>
  <c r="W78" i="1"/>
  <c r="T78" i="1"/>
  <c r="S78" i="1"/>
  <c r="P78" i="1"/>
  <c r="O78" i="1"/>
  <c r="L78" i="1"/>
  <c r="K78" i="1"/>
  <c r="H78" i="1"/>
  <c r="G78" i="1"/>
  <c r="D78" i="1"/>
  <c r="C78" i="1"/>
  <c r="CN77" i="1"/>
  <c r="CM77" i="1"/>
  <c r="CJ77" i="1"/>
  <c r="CI77" i="1"/>
  <c r="CF77" i="1"/>
  <c r="CE77" i="1"/>
  <c r="CB77" i="1"/>
  <c r="CA77" i="1"/>
  <c r="BX77" i="1"/>
  <c r="BW77" i="1"/>
  <c r="BT77" i="1"/>
  <c r="BS77" i="1"/>
  <c r="BP77" i="1"/>
  <c r="BO77" i="1"/>
  <c r="BL77" i="1"/>
  <c r="BK77" i="1"/>
  <c r="BH77" i="1"/>
  <c r="BG77" i="1"/>
  <c r="BD77" i="1"/>
  <c r="BC77" i="1"/>
  <c r="AZ77" i="1"/>
  <c r="AY77" i="1"/>
  <c r="AV77" i="1"/>
  <c r="AU77" i="1"/>
  <c r="AR77" i="1"/>
  <c r="AQ77" i="1"/>
  <c r="AN77" i="1"/>
  <c r="AM77" i="1"/>
  <c r="AJ77" i="1"/>
  <c r="AI77" i="1"/>
  <c r="AF77" i="1"/>
  <c r="AE77" i="1"/>
  <c r="AB77" i="1"/>
  <c r="AA77" i="1"/>
  <c r="X77" i="1"/>
  <c r="W77" i="1"/>
  <c r="T77" i="1"/>
  <c r="S77" i="1"/>
  <c r="P77" i="1"/>
  <c r="O77" i="1"/>
  <c r="L77" i="1"/>
  <c r="K77" i="1"/>
  <c r="H77" i="1"/>
  <c r="G77" i="1"/>
  <c r="D77" i="1"/>
  <c r="C77" i="1"/>
  <c r="CN76" i="1"/>
  <c r="CM76" i="1"/>
  <c r="CJ76" i="1"/>
  <c r="CI76" i="1"/>
  <c r="CF76" i="1"/>
  <c r="CE76" i="1"/>
  <c r="CB76" i="1"/>
  <c r="CA76" i="1"/>
  <c r="BX76" i="1"/>
  <c r="BW76" i="1"/>
  <c r="BT76" i="1"/>
  <c r="BS76" i="1"/>
  <c r="BP76" i="1"/>
  <c r="BO76" i="1"/>
  <c r="BL76" i="1"/>
  <c r="BK76" i="1"/>
  <c r="BH76" i="1"/>
  <c r="BG76" i="1"/>
  <c r="BD76" i="1"/>
  <c r="BC76" i="1"/>
  <c r="AZ76" i="1"/>
  <c r="AY76" i="1"/>
  <c r="AV76" i="1"/>
  <c r="AU76" i="1"/>
  <c r="AR76" i="1"/>
  <c r="AQ76" i="1"/>
  <c r="AN76" i="1"/>
  <c r="AM76" i="1"/>
  <c r="AJ76" i="1"/>
  <c r="AI76" i="1"/>
  <c r="AF76" i="1"/>
  <c r="AE76" i="1"/>
  <c r="AB76" i="1"/>
  <c r="AA76" i="1"/>
  <c r="X76" i="1"/>
  <c r="W76" i="1"/>
  <c r="T76" i="1"/>
  <c r="S76" i="1"/>
  <c r="P76" i="1"/>
  <c r="O76" i="1"/>
  <c r="L76" i="1"/>
  <c r="K76" i="1"/>
  <c r="H76" i="1"/>
  <c r="G76" i="1"/>
  <c r="D76" i="1"/>
  <c r="C76" i="1"/>
  <c r="CN75" i="1"/>
  <c r="CM75" i="1"/>
  <c r="CJ75" i="1"/>
  <c r="CI75" i="1"/>
  <c r="CF75" i="1"/>
  <c r="CE75" i="1"/>
  <c r="CB75" i="1"/>
  <c r="CA75" i="1"/>
  <c r="BX75" i="1"/>
  <c r="BW75" i="1"/>
  <c r="BT75" i="1"/>
  <c r="BS75" i="1"/>
  <c r="BP75" i="1"/>
  <c r="BO75" i="1"/>
  <c r="BL75" i="1"/>
  <c r="BK75" i="1"/>
  <c r="BH75" i="1"/>
  <c r="BG75" i="1"/>
  <c r="BD75" i="1"/>
  <c r="BC75" i="1"/>
  <c r="AZ75" i="1"/>
  <c r="AY75" i="1"/>
  <c r="AV75" i="1"/>
  <c r="AU75" i="1"/>
  <c r="AR75" i="1"/>
  <c r="AQ75" i="1"/>
  <c r="AN75" i="1"/>
  <c r="AM75" i="1"/>
  <c r="AJ75" i="1"/>
  <c r="AI75" i="1"/>
  <c r="AF75" i="1"/>
  <c r="AE75" i="1"/>
  <c r="AB75" i="1"/>
  <c r="AA75" i="1"/>
  <c r="X75" i="1"/>
  <c r="W75" i="1"/>
  <c r="T75" i="1"/>
  <c r="S75" i="1"/>
  <c r="P75" i="1"/>
  <c r="O75" i="1"/>
  <c r="L75" i="1"/>
  <c r="K75" i="1"/>
  <c r="H75" i="1"/>
  <c r="G75" i="1"/>
  <c r="D75" i="1"/>
  <c r="C75" i="1"/>
  <c r="CN74" i="1"/>
  <c r="CM74" i="1"/>
  <c r="CJ74" i="1"/>
  <c r="CI74" i="1"/>
  <c r="CF74" i="1"/>
  <c r="CE74" i="1"/>
  <c r="CB74" i="1"/>
  <c r="CA74" i="1"/>
  <c r="BX74" i="1"/>
  <c r="BW74" i="1"/>
  <c r="BT74" i="1"/>
  <c r="BS74" i="1"/>
  <c r="BP74" i="1"/>
  <c r="BO74" i="1"/>
  <c r="BL74" i="1"/>
  <c r="BK74" i="1"/>
  <c r="BH74" i="1"/>
  <c r="BG74" i="1"/>
  <c r="BD74" i="1"/>
  <c r="BC74" i="1"/>
  <c r="AZ74" i="1"/>
  <c r="AY74" i="1"/>
  <c r="AV74" i="1"/>
  <c r="AU74" i="1"/>
  <c r="AR74" i="1"/>
  <c r="AQ74" i="1"/>
  <c r="AN74" i="1"/>
  <c r="AM74" i="1"/>
  <c r="AJ74" i="1"/>
  <c r="AI74" i="1"/>
  <c r="AF74" i="1"/>
  <c r="AE74" i="1"/>
  <c r="AB74" i="1"/>
  <c r="AA74" i="1"/>
  <c r="X74" i="1"/>
  <c r="W74" i="1"/>
  <c r="T74" i="1"/>
  <c r="S74" i="1"/>
  <c r="P74" i="1"/>
  <c r="O74" i="1"/>
  <c r="L74" i="1"/>
  <c r="K74" i="1"/>
  <c r="H74" i="1"/>
  <c r="G74" i="1"/>
  <c r="D74" i="1"/>
  <c r="C74" i="1"/>
  <c r="CN73" i="1"/>
  <c r="CM73" i="1"/>
  <c r="CJ73" i="1"/>
  <c r="CI73" i="1"/>
  <c r="CF73" i="1"/>
  <c r="CE73" i="1"/>
  <c r="CB73" i="1"/>
  <c r="CA73" i="1"/>
  <c r="BX73" i="1"/>
  <c r="BW73" i="1"/>
  <c r="BT73" i="1"/>
  <c r="BS73" i="1"/>
  <c r="BP73" i="1"/>
  <c r="BO73" i="1"/>
  <c r="BL73" i="1"/>
  <c r="BK73" i="1"/>
  <c r="BH73" i="1"/>
  <c r="BG73" i="1"/>
  <c r="BD73" i="1"/>
  <c r="BC73" i="1"/>
  <c r="AZ73" i="1"/>
  <c r="AY73" i="1"/>
  <c r="AV73" i="1"/>
  <c r="AU73" i="1"/>
  <c r="AR73" i="1"/>
  <c r="AQ73" i="1"/>
  <c r="AN73" i="1"/>
  <c r="AM73" i="1"/>
  <c r="AJ73" i="1"/>
  <c r="AI73" i="1"/>
  <c r="AF73" i="1"/>
  <c r="AE73" i="1"/>
  <c r="AB73" i="1"/>
  <c r="AA73" i="1"/>
  <c r="X73" i="1"/>
  <c r="W73" i="1"/>
  <c r="T73" i="1"/>
  <c r="S73" i="1"/>
  <c r="P73" i="1"/>
  <c r="O73" i="1"/>
  <c r="L73" i="1"/>
  <c r="K73" i="1"/>
  <c r="H73" i="1"/>
  <c r="G73" i="1"/>
  <c r="D73" i="1"/>
  <c r="C73" i="1"/>
  <c r="A72" i="1"/>
  <c r="CN66" i="1"/>
  <c r="CM66" i="1"/>
  <c r="CJ66" i="1"/>
  <c r="CI66" i="1"/>
  <c r="CF66" i="1"/>
  <c r="CE66" i="1"/>
  <c r="CB66" i="1"/>
  <c r="CA66" i="1"/>
  <c r="BX66" i="1"/>
  <c r="BW66" i="1"/>
  <c r="BT66" i="1"/>
  <c r="BS66" i="1"/>
  <c r="BP66" i="1"/>
  <c r="BO66" i="1"/>
  <c r="BL66" i="1"/>
  <c r="BK66" i="1"/>
  <c r="BH66" i="1"/>
  <c r="BG66" i="1"/>
  <c r="BD66" i="1"/>
  <c r="BC66" i="1"/>
  <c r="AZ66" i="1"/>
  <c r="AY66" i="1"/>
  <c r="AV66" i="1"/>
  <c r="AU66" i="1"/>
  <c r="AR66" i="1"/>
  <c r="AQ66" i="1"/>
  <c r="AN66" i="1"/>
  <c r="AM66" i="1"/>
  <c r="AJ66" i="1"/>
  <c r="AI66" i="1"/>
  <c r="AF66" i="1"/>
  <c r="AE66" i="1"/>
  <c r="AB66" i="1"/>
  <c r="AA66" i="1"/>
  <c r="X66" i="1"/>
  <c r="W66" i="1"/>
  <c r="T66" i="1"/>
  <c r="S66" i="1"/>
  <c r="P66" i="1"/>
  <c r="O66" i="1"/>
  <c r="L66" i="1"/>
  <c r="K66" i="1"/>
  <c r="H66" i="1"/>
  <c r="G66" i="1"/>
  <c r="D66" i="1"/>
  <c r="C66" i="1"/>
  <c r="CN65" i="1"/>
  <c r="CM65" i="1"/>
  <c r="CJ65" i="1"/>
  <c r="CI65" i="1"/>
  <c r="CF65" i="1"/>
  <c r="CE65" i="1"/>
  <c r="CB65" i="1"/>
  <c r="CA65" i="1"/>
  <c r="BX65" i="1"/>
  <c r="BW65" i="1"/>
  <c r="BT65" i="1"/>
  <c r="BS65" i="1"/>
  <c r="BP65" i="1"/>
  <c r="BO65" i="1"/>
  <c r="BL65" i="1"/>
  <c r="BK65" i="1"/>
  <c r="BH65" i="1"/>
  <c r="BG65" i="1"/>
  <c r="BD65" i="1"/>
  <c r="BC65" i="1"/>
  <c r="AZ65" i="1"/>
  <c r="AY65" i="1"/>
  <c r="AV65" i="1"/>
  <c r="AU65" i="1"/>
  <c r="AR65" i="1"/>
  <c r="AQ65" i="1"/>
  <c r="AN65" i="1"/>
  <c r="AM65" i="1"/>
  <c r="AJ65" i="1"/>
  <c r="AI65" i="1"/>
  <c r="AF65" i="1"/>
  <c r="AE65" i="1"/>
  <c r="AB65" i="1"/>
  <c r="AA65" i="1"/>
  <c r="X65" i="1"/>
  <c r="W65" i="1"/>
  <c r="T65" i="1"/>
  <c r="S65" i="1"/>
  <c r="P65" i="1"/>
  <c r="O65" i="1"/>
  <c r="L65" i="1"/>
  <c r="K65" i="1"/>
  <c r="H65" i="1"/>
  <c r="G65" i="1"/>
  <c r="D65" i="1"/>
  <c r="C65" i="1"/>
  <c r="A64" i="1"/>
  <c r="CN58" i="1"/>
  <c r="CM58" i="1"/>
  <c r="CJ58" i="1"/>
  <c r="CI58" i="1"/>
  <c r="CF58" i="1"/>
  <c r="CE58" i="1"/>
  <c r="CB58" i="1"/>
  <c r="CA58" i="1"/>
  <c r="BX58" i="1"/>
  <c r="BW58" i="1"/>
  <c r="BT58" i="1"/>
  <c r="BS58" i="1"/>
  <c r="BP58" i="1"/>
  <c r="BO58" i="1"/>
  <c r="BL58" i="1"/>
  <c r="BK58" i="1"/>
  <c r="BH58" i="1"/>
  <c r="BG58" i="1"/>
  <c r="BD58" i="1"/>
  <c r="BC58" i="1"/>
  <c r="AZ58" i="1"/>
  <c r="AY58" i="1"/>
  <c r="AV58" i="1"/>
  <c r="AU58" i="1"/>
  <c r="AR58" i="1"/>
  <c r="AQ58" i="1"/>
  <c r="AN58" i="1"/>
  <c r="AM58" i="1"/>
  <c r="AJ58" i="1"/>
  <c r="AI58" i="1"/>
  <c r="AF58" i="1"/>
  <c r="AE58" i="1"/>
  <c r="AB58" i="1"/>
  <c r="AA58" i="1"/>
  <c r="X58" i="1"/>
  <c r="W58" i="1"/>
  <c r="T58" i="1"/>
  <c r="S58" i="1"/>
  <c r="P58" i="1"/>
  <c r="O58" i="1"/>
  <c r="L58" i="1"/>
  <c r="K58" i="1"/>
  <c r="H58" i="1"/>
  <c r="G58" i="1"/>
  <c r="D58" i="1"/>
  <c r="C58" i="1"/>
  <c r="CN57" i="1"/>
  <c r="CM57" i="1"/>
  <c r="CJ57" i="1"/>
  <c r="CI57" i="1"/>
  <c r="CF57" i="1"/>
  <c r="CE57" i="1"/>
  <c r="CB57" i="1"/>
  <c r="CA57" i="1"/>
  <c r="BX57" i="1"/>
  <c r="BW57" i="1"/>
  <c r="BT57" i="1"/>
  <c r="BS57" i="1"/>
  <c r="BP57" i="1"/>
  <c r="BO57" i="1"/>
  <c r="BL57" i="1"/>
  <c r="BK57" i="1"/>
  <c r="BH57" i="1"/>
  <c r="BG57" i="1"/>
  <c r="BD57" i="1"/>
  <c r="BC57" i="1"/>
  <c r="AZ57" i="1"/>
  <c r="AY57" i="1"/>
  <c r="AV57" i="1"/>
  <c r="AU57" i="1"/>
  <c r="AR57" i="1"/>
  <c r="AQ57" i="1"/>
  <c r="AN57" i="1"/>
  <c r="AM57" i="1"/>
  <c r="AJ57" i="1"/>
  <c r="AI57" i="1"/>
  <c r="AF57" i="1"/>
  <c r="AE57" i="1"/>
  <c r="AB57" i="1"/>
  <c r="AA57" i="1"/>
  <c r="X57" i="1"/>
  <c r="W57" i="1"/>
  <c r="T57" i="1"/>
  <c r="S57" i="1"/>
  <c r="P57" i="1"/>
  <c r="O57" i="1"/>
  <c r="L57" i="1"/>
  <c r="K57" i="1"/>
  <c r="H57" i="1"/>
  <c r="G57" i="1"/>
  <c r="D57" i="1"/>
  <c r="C57" i="1"/>
  <c r="CN56" i="1"/>
  <c r="CM56" i="1"/>
  <c r="CJ56" i="1"/>
  <c r="CI56" i="1"/>
  <c r="CF56" i="1"/>
  <c r="CE56" i="1"/>
  <c r="CB56" i="1"/>
  <c r="CA56" i="1"/>
  <c r="BX56" i="1"/>
  <c r="BW56" i="1"/>
  <c r="BT56" i="1"/>
  <c r="BS56" i="1"/>
  <c r="BP56" i="1"/>
  <c r="BO56" i="1"/>
  <c r="BL56" i="1"/>
  <c r="BK56" i="1"/>
  <c r="BH56" i="1"/>
  <c r="BG56" i="1"/>
  <c r="BD56" i="1"/>
  <c r="BC56" i="1"/>
  <c r="AZ56" i="1"/>
  <c r="AY56" i="1"/>
  <c r="AV56" i="1"/>
  <c r="AU56" i="1"/>
  <c r="AR56" i="1"/>
  <c r="AQ56" i="1"/>
  <c r="AN56" i="1"/>
  <c r="AM56" i="1"/>
  <c r="AJ56" i="1"/>
  <c r="AI56" i="1"/>
  <c r="AF56" i="1"/>
  <c r="AE56" i="1"/>
  <c r="AB56" i="1"/>
  <c r="AA56" i="1"/>
  <c r="X56" i="1"/>
  <c r="W56" i="1"/>
  <c r="T56" i="1"/>
  <c r="S56" i="1"/>
  <c r="P56" i="1"/>
  <c r="O56" i="1"/>
  <c r="L56" i="1"/>
  <c r="K56" i="1"/>
  <c r="H56" i="1"/>
  <c r="G56" i="1"/>
  <c r="D56" i="1"/>
  <c r="C56" i="1"/>
  <c r="CN49" i="1"/>
  <c r="CM49" i="1"/>
  <c r="CJ49" i="1"/>
  <c r="CI49" i="1"/>
  <c r="CF49" i="1"/>
  <c r="CE49" i="1"/>
  <c r="CB49" i="1"/>
  <c r="CA49" i="1"/>
  <c r="BX49" i="1"/>
  <c r="BW49" i="1"/>
  <c r="BT49" i="1"/>
  <c r="BS49" i="1"/>
  <c r="BP49" i="1"/>
  <c r="BO49" i="1"/>
  <c r="BL49" i="1"/>
  <c r="BK49" i="1"/>
  <c r="BH49" i="1"/>
  <c r="BG49" i="1"/>
  <c r="BD49" i="1"/>
  <c r="BC49" i="1"/>
  <c r="AZ49" i="1"/>
  <c r="AY49" i="1"/>
  <c r="AV49" i="1"/>
  <c r="AU49" i="1"/>
  <c r="AR49" i="1"/>
  <c r="AQ49" i="1"/>
  <c r="AN49" i="1"/>
  <c r="AM49" i="1"/>
  <c r="AJ49" i="1"/>
  <c r="AI49" i="1"/>
  <c r="AF49" i="1"/>
  <c r="AE49" i="1"/>
  <c r="AB49" i="1"/>
  <c r="AA49" i="1"/>
  <c r="X49" i="1"/>
  <c r="W49" i="1"/>
  <c r="T49" i="1"/>
  <c r="S49" i="1"/>
  <c r="P49" i="1"/>
  <c r="O49" i="1"/>
  <c r="L49" i="1"/>
  <c r="K49" i="1"/>
  <c r="H49" i="1"/>
  <c r="G49" i="1"/>
  <c r="D49" i="1"/>
  <c r="C49" i="1"/>
  <c r="CN48" i="1"/>
  <c r="CM48" i="1"/>
  <c r="CJ48" i="1"/>
  <c r="CI48" i="1"/>
  <c r="CF48" i="1"/>
  <c r="CE48" i="1"/>
  <c r="CB48" i="1"/>
  <c r="CA48" i="1"/>
  <c r="BX48" i="1"/>
  <c r="BW48" i="1"/>
  <c r="BT48" i="1"/>
  <c r="BS48" i="1"/>
  <c r="BP48" i="1"/>
  <c r="BO48" i="1"/>
  <c r="BL48" i="1"/>
  <c r="BK48" i="1"/>
  <c r="BH48" i="1"/>
  <c r="BG48" i="1"/>
  <c r="BD48" i="1"/>
  <c r="BC48" i="1"/>
  <c r="AZ48" i="1"/>
  <c r="AY48" i="1"/>
  <c r="AV48" i="1"/>
  <c r="AU48" i="1"/>
  <c r="AR48" i="1"/>
  <c r="AQ48" i="1"/>
  <c r="AN48" i="1"/>
  <c r="AM48" i="1"/>
  <c r="AJ48" i="1"/>
  <c r="AI48" i="1"/>
  <c r="AF48" i="1"/>
  <c r="AE48" i="1"/>
  <c r="AB48" i="1"/>
  <c r="AA48" i="1"/>
  <c r="X48" i="1"/>
  <c r="W48" i="1"/>
  <c r="T48" i="1"/>
  <c r="S48" i="1"/>
  <c r="P48" i="1"/>
  <c r="O48" i="1"/>
  <c r="L48" i="1"/>
  <c r="K48" i="1"/>
  <c r="H48" i="1"/>
  <c r="G48" i="1"/>
  <c r="D48" i="1"/>
  <c r="C48" i="1"/>
  <c r="CN47" i="1"/>
  <c r="CM47" i="1"/>
  <c r="CJ47" i="1"/>
  <c r="CI47" i="1"/>
  <c r="CF47" i="1"/>
  <c r="CE47" i="1"/>
  <c r="CB47" i="1"/>
  <c r="CA47" i="1"/>
  <c r="BX47" i="1"/>
  <c r="BW47" i="1"/>
  <c r="BT47" i="1"/>
  <c r="BS47" i="1"/>
  <c r="BP47" i="1"/>
  <c r="BO47" i="1"/>
  <c r="BL47" i="1"/>
  <c r="BK47" i="1"/>
  <c r="BH47" i="1"/>
  <c r="BG47" i="1"/>
  <c r="BD47" i="1"/>
  <c r="BC47" i="1"/>
  <c r="AZ47" i="1"/>
  <c r="AY47" i="1"/>
  <c r="AV47" i="1"/>
  <c r="AU47" i="1"/>
  <c r="AR47" i="1"/>
  <c r="AQ47" i="1"/>
  <c r="AN47" i="1"/>
  <c r="AM47" i="1"/>
  <c r="AJ47" i="1"/>
  <c r="AI47" i="1"/>
  <c r="AF47" i="1"/>
  <c r="AE47" i="1"/>
  <c r="AB47" i="1"/>
  <c r="AA47" i="1"/>
  <c r="X47" i="1"/>
  <c r="W47" i="1"/>
  <c r="T47" i="1"/>
  <c r="S47" i="1"/>
  <c r="P47" i="1"/>
  <c r="O47" i="1"/>
  <c r="L47" i="1"/>
  <c r="K47" i="1"/>
  <c r="H47" i="1"/>
  <c r="G47" i="1"/>
  <c r="D47" i="1"/>
  <c r="C47" i="1"/>
  <c r="CN46" i="1"/>
  <c r="CM46" i="1"/>
  <c r="CJ46" i="1"/>
  <c r="CI46" i="1"/>
  <c r="CF46" i="1"/>
  <c r="CE46" i="1"/>
  <c r="CB46" i="1"/>
  <c r="CA46" i="1"/>
  <c r="BX46" i="1"/>
  <c r="BW46" i="1"/>
  <c r="BT46" i="1"/>
  <c r="BS46" i="1"/>
  <c r="BP46" i="1"/>
  <c r="BO46" i="1"/>
  <c r="BL46" i="1"/>
  <c r="BK46" i="1"/>
  <c r="BH46" i="1"/>
  <c r="BG46" i="1"/>
  <c r="BD46" i="1"/>
  <c r="BC46" i="1"/>
  <c r="AZ46" i="1"/>
  <c r="AY46" i="1"/>
  <c r="AV46" i="1"/>
  <c r="AU46" i="1"/>
  <c r="AR46" i="1"/>
  <c r="AQ46" i="1"/>
  <c r="AN46" i="1"/>
  <c r="AM46" i="1"/>
  <c r="AJ46" i="1"/>
  <c r="AI46" i="1"/>
  <c r="AF46" i="1"/>
  <c r="AE46" i="1"/>
  <c r="AB46" i="1"/>
  <c r="AA46" i="1"/>
  <c r="X46" i="1"/>
  <c r="W46" i="1"/>
  <c r="T46" i="1"/>
  <c r="S46" i="1"/>
  <c r="P46" i="1"/>
  <c r="O46" i="1"/>
  <c r="L46" i="1"/>
  <c r="K46" i="1"/>
  <c r="H46" i="1"/>
  <c r="G46" i="1"/>
  <c r="D46" i="1"/>
  <c r="C46" i="1"/>
  <c r="CN45" i="1"/>
  <c r="CM45" i="1"/>
  <c r="CJ45" i="1"/>
  <c r="CI45" i="1"/>
  <c r="CF45" i="1"/>
  <c r="CE45" i="1"/>
  <c r="CB45" i="1"/>
  <c r="CA45" i="1"/>
  <c r="BX45" i="1"/>
  <c r="BW45" i="1"/>
  <c r="BT45" i="1"/>
  <c r="BS45" i="1"/>
  <c r="BP45" i="1"/>
  <c r="BO45" i="1"/>
  <c r="BL45" i="1"/>
  <c r="BK45" i="1"/>
  <c r="BH45" i="1"/>
  <c r="BG45" i="1"/>
  <c r="BD45" i="1"/>
  <c r="BC45" i="1"/>
  <c r="AZ45" i="1"/>
  <c r="AY45" i="1"/>
  <c r="AV45" i="1"/>
  <c r="AU45" i="1"/>
  <c r="AR45" i="1"/>
  <c r="AQ45" i="1"/>
  <c r="AN45" i="1"/>
  <c r="AM45" i="1"/>
  <c r="AJ45" i="1"/>
  <c r="AI45" i="1"/>
  <c r="AF45" i="1"/>
  <c r="AE45" i="1"/>
  <c r="AB45" i="1"/>
  <c r="AA45" i="1"/>
  <c r="X45" i="1"/>
  <c r="W45" i="1"/>
  <c r="T45" i="1"/>
  <c r="S45" i="1"/>
  <c r="P45" i="1"/>
  <c r="O45" i="1"/>
  <c r="L45" i="1"/>
  <c r="K45" i="1"/>
  <c r="H45" i="1"/>
  <c r="G45" i="1"/>
  <c r="D45" i="1"/>
  <c r="C45" i="1"/>
  <c r="CN44" i="1"/>
  <c r="CM44" i="1"/>
  <c r="CJ44" i="1"/>
  <c r="CI44" i="1"/>
  <c r="CF44" i="1"/>
  <c r="CE44" i="1"/>
  <c r="CB44" i="1"/>
  <c r="CA44" i="1"/>
  <c r="BX44" i="1"/>
  <c r="BW44" i="1"/>
  <c r="BT44" i="1"/>
  <c r="BS44" i="1"/>
  <c r="BP44" i="1"/>
  <c r="BO44" i="1"/>
  <c r="BL44" i="1"/>
  <c r="BK44" i="1"/>
  <c r="BH44" i="1"/>
  <c r="BG44" i="1"/>
  <c r="BD44" i="1"/>
  <c r="BC44" i="1"/>
  <c r="AZ44" i="1"/>
  <c r="AY44" i="1"/>
  <c r="AV44" i="1"/>
  <c r="AU44" i="1"/>
  <c r="AR44" i="1"/>
  <c r="AQ44" i="1"/>
  <c r="AN44" i="1"/>
  <c r="AM44" i="1"/>
  <c r="AJ44" i="1"/>
  <c r="AI44" i="1"/>
  <c r="AF44" i="1"/>
  <c r="AE44" i="1"/>
  <c r="AB44" i="1"/>
  <c r="AA44" i="1"/>
  <c r="X44" i="1"/>
  <c r="W44" i="1"/>
  <c r="T44" i="1"/>
  <c r="S44" i="1"/>
  <c r="P44" i="1"/>
  <c r="O44" i="1"/>
  <c r="L44" i="1"/>
  <c r="K44" i="1"/>
  <c r="H44" i="1"/>
  <c r="G44" i="1"/>
  <c r="D44" i="1"/>
  <c r="C44" i="1"/>
  <c r="CN43" i="1"/>
  <c r="CM43" i="1"/>
  <c r="CJ43" i="1"/>
  <c r="CI43" i="1"/>
  <c r="CF43" i="1"/>
  <c r="CE43" i="1"/>
  <c r="CB43" i="1"/>
  <c r="CA43" i="1"/>
  <c r="BX43" i="1"/>
  <c r="BW43" i="1"/>
  <c r="BT43" i="1"/>
  <c r="BS43" i="1"/>
  <c r="BP43" i="1"/>
  <c r="BO43" i="1"/>
  <c r="BL43" i="1"/>
  <c r="BK43" i="1"/>
  <c r="BH43" i="1"/>
  <c r="BG43" i="1"/>
  <c r="BD43" i="1"/>
  <c r="BC43" i="1"/>
  <c r="AZ43" i="1"/>
  <c r="AY43" i="1"/>
  <c r="AV43" i="1"/>
  <c r="AU43" i="1"/>
  <c r="AR43" i="1"/>
  <c r="AQ43" i="1"/>
  <c r="AN43" i="1"/>
  <c r="AM43" i="1"/>
  <c r="AJ43" i="1"/>
  <c r="AI43" i="1"/>
  <c r="AF43" i="1"/>
  <c r="AE43" i="1"/>
  <c r="AB43" i="1"/>
  <c r="AA43" i="1"/>
  <c r="X43" i="1"/>
  <c r="W43" i="1"/>
  <c r="T43" i="1"/>
  <c r="S43" i="1"/>
  <c r="P43" i="1"/>
  <c r="O43" i="1"/>
  <c r="L43" i="1"/>
  <c r="K43" i="1"/>
  <c r="H43" i="1"/>
  <c r="G43" i="1"/>
  <c r="D43" i="1"/>
  <c r="C43" i="1"/>
  <c r="CN36" i="1"/>
  <c r="CM36" i="1"/>
  <c r="CJ36" i="1"/>
  <c r="CI36" i="1"/>
  <c r="CF36" i="1"/>
  <c r="CE36" i="1"/>
  <c r="CB36" i="1"/>
  <c r="CA36" i="1"/>
  <c r="BX36" i="1"/>
  <c r="BW36" i="1"/>
  <c r="BT36" i="1"/>
  <c r="BS36" i="1"/>
  <c r="BP36" i="1"/>
  <c r="BO36" i="1"/>
  <c r="BL36" i="1"/>
  <c r="BK36" i="1"/>
  <c r="BH36" i="1"/>
  <c r="BG36" i="1"/>
  <c r="BD36" i="1"/>
  <c r="BC36" i="1"/>
  <c r="AZ36" i="1"/>
  <c r="AY36" i="1"/>
  <c r="AV36" i="1"/>
  <c r="AU36" i="1"/>
  <c r="AR36" i="1"/>
  <c r="AQ36" i="1"/>
  <c r="AN36" i="1"/>
  <c r="AM36" i="1"/>
  <c r="AJ36" i="1"/>
  <c r="AI36" i="1"/>
  <c r="AF36" i="1"/>
  <c r="AE36" i="1"/>
  <c r="AB36" i="1"/>
  <c r="AA36" i="1"/>
  <c r="X36" i="1"/>
  <c r="W36" i="1"/>
  <c r="T36" i="1"/>
  <c r="S36" i="1"/>
  <c r="P36" i="1"/>
  <c r="O36" i="1"/>
  <c r="L36" i="1"/>
  <c r="K36" i="1"/>
  <c r="H36" i="1"/>
  <c r="G36" i="1"/>
  <c r="D36" i="1"/>
  <c r="C36" i="1"/>
  <c r="CN35" i="1"/>
  <c r="CM35" i="1"/>
  <c r="CJ35" i="1"/>
  <c r="CI35" i="1"/>
  <c r="CF35" i="1"/>
  <c r="CE35" i="1"/>
  <c r="CB35" i="1"/>
  <c r="CA35" i="1"/>
  <c r="BX35" i="1"/>
  <c r="BW35" i="1"/>
  <c r="BT35" i="1"/>
  <c r="BS35" i="1"/>
  <c r="BP35" i="1"/>
  <c r="BO35" i="1"/>
  <c r="BL35" i="1"/>
  <c r="BK35" i="1"/>
  <c r="BH35" i="1"/>
  <c r="BG35" i="1"/>
  <c r="BD35" i="1"/>
  <c r="BC35" i="1"/>
  <c r="AZ35" i="1"/>
  <c r="AY35" i="1"/>
  <c r="AV35" i="1"/>
  <c r="AU35" i="1"/>
  <c r="AR35" i="1"/>
  <c r="AQ35" i="1"/>
  <c r="AN35" i="1"/>
  <c r="AM35" i="1"/>
  <c r="AJ35" i="1"/>
  <c r="AI35" i="1"/>
  <c r="AF35" i="1"/>
  <c r="AE35" i="1"/>
  <c r="AB35" i="1"/>
  <c r="AA35" i="1"/>
  <c r="X35" i="1"/>
  <c r="W35" i="1"/>
  <c r="T35" i="1"/>
  <c r="S35" i="1"/>
  <c r="P35" i="1"/>
  <c r="O35" i="1"/>
  <c r="L35" i="1"/>
  <c r="K35" i="1"/>
  <c r="H35" i="1"/>
  <c r="G35" i="1"/>
  <c r="D35" i="1"/>
  <c r="C35" i="1"/>
  <c r="CN34" i="1"/>
  <c r="CM34" i="1"/>
  <c r="CJ34" i="1"/>
  <c r="CI34" i="1"/>
  <c r="CF34" i="1"/>
  <c r="CE34" i="1"/>
  <c r="CB34" i="1"/>
  <c r="CA34" i="1"/>
  <c r="BX34" i="1"/>
  <c r="BW34" i="1"/>
  <c r="BT34" i="1"/>
  <c r="BS34" i="1"/>
  <c r="BP34" i="1"/>
  <c r="BO34" i="1"/>
  <c r="BL34" i="1"/>
  <c r="BK34" i="1"/>
  <c r="BH34" i="1"/>
  <c r="BG34" i="1"/>
  <c r="BD34" i="1"/>
  <c r="BC34" i="1"/>
  <c r="AZ34" i="1"/>
  <c r="AY34" i="1"/>
  <c r="AV34" i="1"/>
  <c r="AU34" i="1"/>
  <c r="AR34" i="1"/>
  <c r="AQ34" i="1"/>
  <c r="AN34" i="1"/>
  <c r="AM34" i="1"/>
  <c r="AJ34" i="1"/>
  <c r="AI34" i="1"/>
  <c r="AF34" i="1"/>
  <c r="AE34" i="1"/>
  <c r="AB34" i="1"/>
  <c r="AA34" i="1"/>
  <c r="X34" i="1"/>
  <c r="W34" i="1"/>
  <c r="T34" i="1"/>
  <c r="S34" i="1"/>
  <c r="P34" i="1"/>
  <c r="O34" i="1"/>
  <c r="L34" i="1"/>
  <c r="K34" i="1"/>
  <c r="H34" i="1"/>
  <c r="G34" i="1"/>
  <c r="D34" i="1"/>
  <c r="C34" i="1"/>
  <c r="CN33" i="1"/>
  <c r="CM33" i="1"/>
  <c r="CJ33" i="1"/>
  <c r="CI33" i="1"/>
  <c r="CF33" i="1"/>
  <c r="CE33" i="1"/>
  <c r="CB33" i="1"/>
  <c r="CA33" i="1"/>
  <c r="BX33" i="1"/>
  <c r="BW33" i="1"/>
  <c r="BT33" i="1"/>
  <c r="BS33" i="1"/>
  <c r="BP33" i="1"/>
  <c r="BO33" i="1"/>
  <c r="BL33" i="1"/>
  <c r="BK33" i="1"/>
  <c r="BH33" i="1"/>
  <c r="BG33" i="1"/>
  <c r="BD33" i="1"/>
  <c r="BC33" i="1"/>
  <c r="AZ33" i="1"/>
  <c r="AY33" i="1"/>
  <c r="AV33" i="1"/>
  <c r="AU33" i="1"/>
  <c r="AR33" i="1"/>
  <c r="AQ33" i="1"/>
  <c r="AN33" i="1"/>
  <c r="AM33" i="1"/>
  <c r="AJ33" i="1"/>
  <c r="AI33" i="1"/>
  <c r="AF33" i="1"/>
  <c r="AE33" i="1"/>
  <c r="AB33" i="1"/>
  <c r="AA33" i="1"/>
  <c r="X33" i="1"/>
  <c r="W33" i="1"/>
  <c r="T33" i="1"/>
  <c r="S33" i="1"/>
  <c r="P33" i="1"/>
  <c r="O33" i="1"/>
  <c r="L33" i="1"/>
  <c r="K33" i="1"/>
  <c r="H33" i="1"/>
  <c r="G33" i="1"/>
  <c r="D33" i="1"/>
  <c r="C33" i="1"/>
  <c r="CN32" i="1"/>
  <c r="CM32" i="1"/>
  <c r="CJ32" i="1"/>
  <c r="CI32" i="1"/>
  <c r="CF32" i="1"/>
  <c r="CE32" i="1"/>
  <c r="CB32" i="1"/>
  <c r="CA32" i="1"/>
  <c r="BX32" i="1"/>
  <c r="BW32" i="1"/>
  <c r="BT32" i="1"/>
  <c r="BS32" i="1"/>
  <c r="BP32" i="1"/>
  <c r="BO32" i="1"/>
  <c r="BL32" i="1"/>
  <c r="BK32" i="1"/>
  <c r="BH32" i="1"/>
  <c r="BG32" i="1"/>
  <c r="BD32" i="1"/>
  <c r="BC32" i="1"/>
  <c r="AZ32" i="1"/>
  <c r="AY32" i="1"/>
  <c r="AV32" i="1"/>
  <c r="AU32" i="1"/>
  <c r="AR32" i="1"/>
  <c r="AQ32" i="1"/>
  <c r="AN32" i="1"/>
  <c r="AM32" i="1"/>
  <c r="AJ32" i="1"/>
  <c r="AI32" i="1"/>
  <c r="AF32" i="1"/>
  <c r="AE32" i="1"/>
  <c r="AB32" i="1"/>
  <c r="AA32" i="1"/>
  <c r="X32" i="1"/>
  <c r="W32" i="1"/>
  <c r="T32" i="1"/>
  <c r="S32" i="1"/>
  <c r="P32" i="1"/>
  <c r="O32" i="1"/>
  <c r="L32" i="1"/>
  <c r="K32" i="1"/>
  <c r="H32" i="1"/>
  <c r="G32" i="1"/>
  <c r="D32" i="1"/>
  <c r="C32" i="1"/>
  <c r="CN31" i="1"/>
  <c r="CM31" i="1"/>
  <c r="CJ31" i="1"/>
  <c r="CI31" i="1"/>
  <c r="CF31" i="1"/>
  <c r="CE31" i="1"/>
  <c r="CB31" i="1"/>
  <c r="CA31" i="1"/>
  <c r="BX31" i="1"/>
  <c r="BW31" i="1"/>
  <c r="BT31" i="1"/>
  <c r="BS31" i="1"/>
  <c r="BP31" i="1"/>
  <c r="BO31" i="1"/>
  <c r="BL31" i="1"/>
  <c r="BK31" i="1"/>
  <c r="BH31" i="1"/>
  <c r="BG31" i="1"/>
  <c r="BD31" i="1"/>
  <c r="BC31" i="1"/>
  <c r="AZ31" i="1"/>
  <c r="AY31" i="1"/>
  <c r="AV31" i="1"/>
  <c r="AU31" i="1"/>
  <c r="AR31" i="1"/>
  <c r="AQ31" i="1"/>
  <c r="AN31" i="1"/>
  <c r="AM31" i="1"/>
  <c r="AJ31" i="1"/>
  <c r="AI31" i="1"/>
  <c r="AF31" i="1"/>
  <c r="AE31" i="1"/>
  <c r="AB31" i="1"/>
  <c r="AA31" i="1"/>
  <c r="X31" i="1"/>
  <c r="W31" i="1"/>
  <c r="T31" i="1"/>
  <c r="S31" i="1"/>
  <c r="P31" i="1"/>
  <c r="O31" i="1"/>
  <c r="L31" i="1"/>
  <c r="K31" i="1"/>
  <c r="H31" i="1"/>
  <c r="G31" i="1"/>
  <c r="D31" i="1"/>
  <c r="C31" i="1"/>
  <c r="A30" i="1"/>
  <c r="CN24" i="1"/>
  <c r="CM24" i="1"/>
  <c r="CJ24" i="1"/>
  <c r="CI24" i="1"/>
  <c r="CF24" i="1"/>
  <c r="CE24" i="1"/>
  <c r="CB24" i="1"/>
  <c r="CA24" i="1"/>
  <c r="BX24" i="1"/>
  <c r="BW24" i="1"/>
  <c r="BT24" i="1"/>
  <c r="BS24" i="1"/>
  <c r="BP24" i="1"/>
  <c r="BO24" i="1"/>
  <c r="BL24" i="1"/>
  <c r="BK24" i="1"/>
  <c r="BH24" i="1"/>
  <c r="BG24" i="1"/>
  <c r="BD24" i="1"/>
  <c r="BC24" i="1"/>
  <c r="AZ24" i="1"/>
  <c r="AY24" i="1"/>
  <c r="AV24" i="1"/>
  <c r="AU24" i="1"/>
  <c r="AR24" i="1"/>
  <c r="AQ24" i="1"/>
  <c r="AN24" i="1"/>
  <c r="AM24" i="1"/>
  <c r="AJ24" i="1"/>
  <c r="AI24" i="1"/>
  <c r="AF24" i="1"/>
  <c r="AE24" i="1"/>
  <c r="AB24" i="1"/>
  <c r="AA24" i="1"/>
  <c r="X24" i="1"/>
  <c r="W24" i="1"/>
  <c r="T24" i="1"/>
  <c r="S24" i="1"/>
  <c r="P24" i="1"/>
  <c r="O24" i="1"/>
  <c r="L24" i="1"/>
  <c r="K24" i="1"/>
  <c r="H24" i="1"/>
  <c r="G24" i="1"/>
  <c r="D24" i="1"/>
  <c r="C24" i="1"/>
  <c r="CN23" i="1"/>
  <c r="CM23" i="1"/>
  <c r="CJ23" i="1"/>
  <c r="CI23" i="1"/>
  <c r="CF23" i="1"/>
  <c r="CE23" i="1"/>
  <c r="CB23" i="1"/>
  <c r="CA23" i="1"/>
  <c r="BX23" i="1"/>
  <c r="BW23" i="1"/>
  <c r="BT23" i="1"/>
  <c r="BS23" i="1"/>
  <c r="BP23" i="1"/>
  <c r="BO23" i="1"/>
  <c r="BL23" i="1"/>
  <c r="BK23" i="1"/>
  <c r="BH23" i="1"/>
  <c r="BG23" i="1"/>
  <c r="BD23" i="1"/>
  <c r="BC23" i="1"/>
  <c r="AZ23" i="1"/>
  <c r="AY23" i="1"/>
  <c r="AV23" i="1"/>
  <c r="AU23" i="1"/>
  <c r="AR23" i="1"/>
  <c r="AQ23" i="1"/>
  <c r="AN23" i="1"/>
  <c r="AM23" i="1"/>
  <c r="AJ23" i="1"/>
  <c r="AI23" i="1"/>
  <c r="AF23" i="1"/>
  <c r="AE23" i="1"/>
  <c r="AB23" i="1"/>
  <c r="AA23" i="1"/>
  <c r="X23" i="1"/>
  <c r="W23" i="1"/>
  <c r="T23" i="1"/>
  <c r="S23" i="1"/>
  <c r="P23" i="1"/>
  <c r="O23" i="1"/>
  <c r="L23" i="1"/>
  <c r="K23" i="1"/>
  <c r="H23" i="1"/>
  <c r="G23" i="1"/>
  <c r="D23" i="1"/>
  <c r="C23" i="1"/>
  <c r="A22" i="1"/>
  <c r="CN16" i="1"/>
  <c r="CM16" i="1"/>
  <c r="CJ16" i="1"/>
  <c r="CI16" i="1"/>
  <c r="CF16" i="1"/>
  <c r="CE16" i="1"/>
  <c r="CB16" i="1"/>
  <c r="CA16" i="1"/>
  <c r="BX16" i="1"/>
  <c r="BW16" i="1"/>
  <c r="BT16" i="1"/>
  <c r="BS16" i="1"/>
  <c r="BP16" i="1"/>
  <c r="BO16" i="1"/>
  <c r="BL16" i="1"/>
  <c r="BK16" i="1"/>
  <c r="BH16" i="1"/>
  <c r="BG16" i="1"/>
  <c r="BD16" i="1"/>
  <c r="BC16" i="1"/>
  <c r="AZ16" i="1"/>
  <c r="AY16" i="1"/>
  <c r="AV16" i="1"/>
  <c r="AU16" i="1"/>
  <c r="AR16" i="1"/>
  <c r="AQ16" i="1"/>
  <c r="AN16" i="1"/>
  <c r="AM16" i="1"/>
  <c r="AJ16" i="1"/>
  <c r="AI16" i="1"/>
  <c r="AF16" i="1"/>
  <c r="AE16" i="1"/>
  <c r="AB16" i="1"/>
  <c r="AA16" i="1"/>
  <c r="X16" i="1"/>
  <c r="W16" i="1"/>
  <c r="T16" i="1"/>
  <c r="S16" i="1"/>
  <c r="P16" i="1"/>
  <c r="O16" i="1"/>
  <c r="L16" i="1"/>
  <c r="K16" i="1"/>
  <c r="H16" i="1"/>
  <c r="G16" i="1"/>
  <c r="D16" i="1"/>
  <c r="C16" i="1"/>
  <c r="CN15" i="1"/>
  <c r="CM15" i="1"/>
  <c r="CJ15" i="1"/>
  <c r="CI15" i="1"/>
  <c r="CF15" i="1"/>
  <c r="CE15" i="1"/>
  <c r="CB15" i="1"/>
  <c r="CA15" i="1"/>
  <c r="BX15" i="1"/>
  <c r="BW15" i="1"/>
  <c r="BT15" i="1"/>
  <c r="BS15" i="1"/>
  <c r="BP15" i="1"/>
  <c r="BO15" i="1"/>
  <c r="BL15" i="1"/>
  <c r="BK15" i="1"/>
  <c r="BH15" i="1"/>
  <c r="BG15" i="1"/>
  <c r="BD15" i="1"/>
  <c r="BC15" i="1"/>
  <c r="AZ15" i="1"/>
  <c r="AY15" i="1"/>
  <c r="AV15" i="1"/>
  <c r="AU15" i="1"/>
  <c r="AR15" i="1"/>
  <c r="AQ15" i="1"/>
  <c r="AN15" i="1"/>
  <c r="AM15" i="1"/>
  <c r="AJ15" i="1"/>
  <c r="AI15" i="1"/>
  <c r="AF15" i="1"/>
  <c r="AE15" i="1"/>
  <c r="AB15" i="1"/>
  <c r="AA15" i="1"/>
  <c r="X15" i="1"/>
  <c r="W15" i="1"/>
  <c r="T15" i="1"/>
  <c r="S15" i="1"/>
  <c r="P15" i="1"/>
  <c r="O15" i="1"/>
  <c r="L15" i="1"/>
  <c r="K15" i="1"/>
  <c r="H15" i="1"/>
  <c r="G15" i="1"/>
  <c r="D15" i="1"/>
  <c r="C15" i="1"/>
  <c r="CN8" i="1"/>
  <c r="CM8" i="1"/>
  <c r="CJ8" i="1"/>
  <c r="CI8" i="1"/>
  <c r="CF8" i="1"/>
  <c r="CE8" i="1"/>
  <c r="CB8" i="1"/>
  <c r="CA8" i="1"/>
  <c r="BX8" i="1"/>
  <c r="BW8" i="1"/>
  <c r="BT8" i="1"/>
  <c r="BS8" i="1"/>
  <c r="BP8" i="1"/>
  <c r="BO8" i="1"/>
  <c r="BL8" i="1"/>
  <c r="BK8" i="1"/>
  <c r="BH8" i="1"/>
  <c r="BG8" i="1"/>
  <c r="BD8" i="1"/>
  <c r="BC8" i="1"/>
  <c r="AZ8" i="1"/>
  <c r="AY8" i="1"/>
  <c r="AV8" i="1"/>
  <c r="AU8" i="1"/>
  <c r="AR8" i="1"/>
  <c r="AQ8" i="1"/>
  <c r="AN8" i="1"/>
  <c r="AM8" i="1"/>
  <c r="AJ8" i="1"/>
  <c r="AI8" i="1"/>
  <c r="AF8" i="1"/>
  <c r="AE8" i="1"/>
  <c r="AB8" i="1"/>
  <c r="AA8" i="1"/>
  <c r="X8" i="1"/>
  <c r="W8" i="1"/>
  <c r="T8" i="1"/>
  <c r="S8" i="1"/>
  <c r="P8" i="1"/>
  <c r="O8" i="1"/>
  <c r="L8" i="1"/>
  <c r="K8" i="1"/>
  <c r="H8" i="1"/>
  <c r="G8" i="1"/>
  <c r="D8" i="1"/>
  <c r="C8" i="1"/>
  <c r="CN7" i="1"/>
  <c r="CM7" i="1"/>
  <c r="CJ7" i="1"/>
  <c r="CI7" i="1"/>
  <c r="CF7" i="1"/>
  <c r="CE7" i="1"/>
  <c r="CB7" i="1"/>
  <c r="CA7" i="1"/>
  <c r="BX7" i="1"/>
  <c r="BW7" i="1"/>
  <c r="BT7" i="1"/>
  <c r="BS7" i="1"/>
  <c r="BP7" i="1"/>
  <c r="BO7" i="1"/>
  <c r="BL7" i="1"/>
  <c r="BK7" i="1"/>
  <c r="BH7" i="1"/>
  <c r="BG7" i="1"/>
  <c r="BD7" i="1"/>
  <c r="BC7" i="1"/>
  <c r="AZ7" i="1"/>
  <c r="AY7" i="1"/>
  <c r="AV7" i="1"/>
  <c r="AU7" i="1"/>
  <c r="AR7" i="1"/>
  <c r="AQ7" i="1"/>
  <c r="AN7" i="1"/>
  <c r="AM7" i="1"/>
  <c r="AJ7" i="1"/>
  <c r="AI7" i="1"/>
  <c r="AF7" i="1"/>
  <c r="AE7" i="1"/>
  <c r="AB7" i="1"/>
  <c r="AA7" i="1"/>
  <c r="X7" i="1"/>
  <c r="W7" i="1"/>
  <c r="T7" i="1"/>
  <c r="S7" i="1"/>
  <c r="P7" i="1"/>
  <c r="O7" i="1"/>
  <c r="L7" i="1"/>
  <c r="K7" i="1"/>
  <c r="H7" i="1"/>
  <c r="G7" i="1"/>
  <c r="D7" i="1"/>
  <c r="C7" i="1"/>
</calcChain>
</file>

<file path=xl/sharedStrings.xml><?xml version="1.0" encoding="utf-8"?>
<sst xmlns="http://schemas.openxmlformats.org/spreadsheetml/2006/main" count="8399" uniqueCount="2266">
  <si>
    <t>Velikost celkové báze:</t>
  </si>
  <si>
    <t>Značky</t>
  </si>
  <si>
    <t>age-18_29</t>
  </si>
  <si>
    <t>age-30_44</t>
  </si>
  <si>
    <t>age-45_64</t>
  </si>
  <si>
    <t>A</t>
  </si>
  <si>
    <t>B</t>
  </si>
  <si>
    <t>C</t>
  </si>
  <si>
    <t>D</t>
  </si>
  <si>
    <t>intro_hlavni</t>
  </si>
  <si>
    <t>z celku</t>
  </si>
  <si>
    <t>JASNĚ!</t>
  </si>
  <si>
    <t>Bez odpovědi</t>
  </si>
  <si>
    <t>Otázku vidělo</t>
  </si>
  <si>
    <t>Nevyplněný dotazník</t>
  </si>
  <si>
    <t>Otázka nevidělo</t>
  </si>
  <si>
    <t>Ukážeme vám teď **několik obrázků** a bude nás zajímat, co vy na ně. Připraven/a?</t>
  </si>
  <si>
    <t>Samurai</t>
  </si>
  <si>
    <t>Nn</t>
  </si>
  <si>
    <t>Jiří Procházka</t>
  </si>
  <si>
    <t>Ufc</t>
  </si>
  <si>
    <t>BJP</t>
  </si>
  <si>
    <t>Prochazka</t>
  </si>
  <si>
    <t>Procházka</t>
  </si>
  <si>
    <t>Obviňují nedovedu si vybavit</t>
  </si>
  <si>
    <t>proteiny nebo posilovny nebo nějaká mma událost</t>
  </si>
  <si>
    <t>Nevím</t>
  </si>
  <si>
    <t>Semtex</t>
  </si>
  <si>
    <t>Mmwai</t>
  </si>
  <si>
    <t>fotbal</t>
  </si>
  <si>
    <t>Adidas</t>
  </si>
  <si>
    <t>MMA</t>
  </si>
  <si>
    <t>Mma</t>
  </si>
  <si>
    <t>Hokej</t>
  </si>
  <si>
    <t>mma</t>
  </si>
  <si>
    <t>Sportovec</t>
  </si>
  <si>
    <t>Bjp</t>
  </si>
  <si>
    <t>UFC</t>
  </si>
  <si>
    <t>Mixit</t>
  </si>
  <si>
    <t>procházka</t>
  </si>
  <si>
    <t>ne</t>
  </si>
  <si>
    <t>???</t>
  </si>
  <si>
    <t>ufc</t>
  </si>
  <si>
    <t>Nevzpomenu si</t>
  </si>
  <si>
    <t>Úpřimnost</t>
  </si>
  <si>
    <t>Asi sport</t>
  </si>
  <si>
    <t>Nic</t>
  </si>
  <si>
    <t>Žádnou</t>
  </si>
  <si>
    <t>Telly</t>
  </si>
  <si>
    <t>SamuraiTea</t>
  </si>
  <si>
    <t>BjP</t>
  </si>
  <si>
    <t>Oktagon</t>
  </si>
  <si>
    <t>Jiří procházka</t>
  </si>
  <si>
    <t>Neznám</t>
  </si>
  <si>
    <t>Zadna</t>
  </si>
  <si>
    <t>Akční</t>
  </si>
  <si>
    <t>Karlos Vemola</t>
  </si>
  <si>
    <t>Gaemfeat</t>
  </si>
  <si>
    <t>Bojové Sporty</t>
  </si>
  <si>
    <t>OKTAGON!</t>
  </si>
  <si>
    <t>adidas</t>
  </si>
  <si>
    <t>myprotein</t>
  </si>
  <si>
    <t>Fotbal</t>
  </si>
  <si>
    <t>Syoss</t>
  </si>
  <si>
    <t>Carlos Vémola</t>
  </si>
  <si>
    <t>Old spice</t>
  </si>
  <si>
    <t>bjb</t>
  </si>
  <si>
    <t>brain market</t>
  </si>
  <si>
    <t>Žádná</t>
  </si>
  <si>
    <t>Asi nějaké sportovní doplňky</t>
  </si>
  <si>
    <t>Jirka Procházka</t>
  </si>
  <si>
    <t>žádná</t>
  </si>
  <si>
    <t>nevím</t>
  </si>
  <si>
    <t>Vemola</t>
  </si>
  <si>
    <t>neznám</t>
  </si>
  <si>
    <t>Box</t>
  </si>
  <si>
    <t>Procházka?</t>
  </si>
  <si>
    <t>Tescoma- sada nožů</t>
  </si>
  <si>
    <t>Nevim</t>
  </si>
  <si>
    <t>nevím, Procházka</t>
  </si>
  <si>
    <t>Xtb</t>
  </si>
  <si>
    <t>MAMA</t>
  </si>
  <si>
    <t>Ne</t>
  </si>
  <si>
    <t>Box / holení/ sport/</t>
  </si>
  <si>
    <t>zápas</t>
  </si>
  <si>
    <t>vzpírání</t>
  </si>
  <si>
    <t>zápasník</t>
  </si>
  <si>
    <t>Sport</t>
  </si>
  <si>
    <t>nevzpomenu si ale zápasník mma?</t>
  </si>
  <si>
    <t>bjp</t>
  </si>
  <si>
    <t>mixit</t>
  </si>
  <si>
    <t>Zápasník</t>
  </si>
  <si>
    <t>Fortuna?</t>
  </si>
  <si>
    <t>Zápas box</t>
  </si>
  <si>
    <t>Rexona</t>
  </si>
  <si>
    <t>oktagon</t>
  </si>
  <si>
    <t>nic</t>
  </si>
  <si>
    <t>UFC,MMA</t>
  </si>
  <si>
    <t>Švihej</t>
  </si>
  <si>
    <t>Jirka prochazka</t>
  </si>
  <si>
    <t>Sportomec</t>
  </si>
  <si>
    <t>Jiří Denisa Procházka</t>
  </si>
  <si>
    <t>Bauer</t>
  </si>
  <si>
    <t>Gilette</t>
  </si>
  <si>
    <t>Nějaká pánská kosmetika</t>
  </si>
  <si>
    <t>neco na holení</t>
  </si>
  <si>
    <t>BrainMarket</t>
  </si>
  <si>
    <t>Mobil Pohotovost</t>
  </si>
  <si>
    <t>mmm</t>
  </si>
  <si>
    <t>Bjp store</t>
  </si>
  <si>
    <t>Fortuna</t>
  </si>
  <si>
    <t>žádnou</t>
  </si>
  <si>
    <t>Mfa</t>
  </si>
  <si>
    <t>Ufc , jbp</t>
  </si>
  <si>
    <t>Samurai shot</t>
  </si>
  <si>
    <t>MMA ZÁPASNÍK</t>
  </si>
  <si>
    <t>BJP - bomby jak piča nebo bomby jiriho procházky</t>
  </si>
  <si>
    <t>jirka prochazka</t>
  </si>
  <si>
    <t>-</t>
  </si>
  <si>
    <t>Nic,neznam</t>
  </si>
  <si>
    <t>Gymbeam</t>
  </si>
  <si>
    <t>Tipsport</t>
  </si>
  <si>
    <t>Zápas</t>
  </si>
  <si>
    <t>Zadnou</t>
  </si>
  <si>
    <t>prochazka</t>
  </si>
  <si>
    <t>bojovník-zápasník</t>
  </si>
  <si>
    <t>taky nevím</t>
  </si>
  <si>
    <t>boxerky</t>
  </si>
  <si>
    <t>Jiří Prochazka</t>
  </si>
  <si>
    <t>Ucf</t>
  </si>
  <si>
    <t>Venum</t>
  </si>
  <si>
    <t>Sportovní potřeby</t>
  </si>
  <si>
    <t>Netusim</t>
  </si>
  <si>
    <t>nic mi neříká</t>
  </si>
  <si>
    <t>under armor</t>
  </si>
  <si>
    <t>neznám - zápasník</t>
  </si>
  <si>
    <t>Boj</t>
  </si>
  <si>
    <t>Bojovník</t>
  </si>
  <si>
    <t>Zápasy v kleci</t>
  </si>
  <si>
    <t>Nike</t>
  </si>
  <si>
    <t>síla</t>
  </si>
  <si>
    <t>MME</t>
  </si>
  <si>
    <t>jiri</t>
  </si>
  <si>
    <t>reebok</t>
  </si>
  <si>
    <t>Zápas...</t>
  </si>
  <si>
    <t>Nějakou sportovní</t>
  </si>
  <si>
    <t>MMA turnaj</t>
  </si>
  <si>
    <t>Martin Procházka</t>
  </si>
  <si>
    <t>Gillette</t>
  </si>
  <si>
    <t>Jiří Procházka MME</t>
  </si>
  <si>
    <t>Bum bum</t>
  </si>
  <si>
    <t>Zapasy</t>
  </si>
  <si>
    <t>?</t>
  </si>
  <si>
    <t>Mme</t>
  </si>
  <si>
    <t>Myslím že MMA ale jistá si nejsem</t>
  </si>
  <si>
    <t>Sev</t>
  </si>
  <si>
    <t>Decathlon</t>
  </si>
  <si>
    <t>Neviem</t>
  </si>
  <si>
    <t>Netuším</t>
  </si>
  <si>
    <t>BOJOVÝ ZÁPASNÍK</t>
  </si>
  <si>
    <t>Ild spice</t>
  </si>
  <si>
    <t>box</t>
  </si>
  <si>
    <t>Boxer</t>
  </si>
  <si>
    <t>Bojové sporty</t>
  </si>
  <si>
    <t>Nevám</t>
  </si>
  <si>
    <t>Hirnbach</t>
  </si>
  <si>
    <t>hokej</t>
  </si>
  <si>
    <t>super jirka procházka</t>
  </si>
  <si>
    <t>Amix</t>
  </si>
  <si>
    <t>Tapout</t>
  </si>
  <si>
    <t>mmn</t>
  </si>
  <si>
    <t>Octagon</t>
  </si>
  <si>
    <t>Sportisimo</t>
  </si>
  <si>
    <t>Něco sportovního</t>
  </si>
  <si>
    <t>Braun</t>
  </si>
  <si>
    <t>brrr</t>
  </si>
  <si>
    <t>Procházka super</t>
  </si>
  <si>
    <t>Chleba</t>
  </si>
  <si>
    <t>Karel gott</t>
  </si>
  <si>
    <t>Nevzpominam si</t>
  </si>
  <si>
    <t>hazard, energeťáky, lehké drogy</t>
  </si>
  <si>
    <t>Nemám ponětí</t>
  </si>
  <si>
    <t>vul</t>
  </si>
  <si>
    <t>Bjp jiri prochazka</t>
  </si>
  <si>
    <t>nevim</t>
  </si>
  <si>
    <t>Bojivnik Jiri prochazka</t>
  </si>
  <si>
    <t>dělá mma ?</t>
  </si>
  <si>
    <t>Judo</t>
  </si>
  <si>
    <t>Msmazka od pohledu</t>
  </si>
  <si>
    <t>boxér</t>
  </si>
  <si>
    <t>rváč</t>
  </si>
  <si>
    <t>MMA Procházka</t>
  </si>
  <si>
    <t>Penny</t>
  </si>
  <si>
    <t>Bauhaus</t>
  </si>
  <si>
    <t>wtf?</t>
  </si>
  <si>
    <t>Denisa</t>
  </si>
  <si>
    <t>Bojovnik</t>
  </si>
  <si>
    <t>Philips</t>
  </si>
  <si>
    <t>Neznam</t>
  </si>
  <si>
    <t>Ježíš značka,on bojuje ,ale značku,nevim</t>
  </si>
  <si>
    <t>Otevřená odpověď</t>
  </si>
  <si>
    <t>smile</t>
  </si>
  <si>
    <t>Sympaťák</t>
  </si>
  <si>
    <t>neutral</t>
  </si>
  <si>
    <t xml:space="preserve">Jéžiši kde ty lidi berete </t>
  </si>
  <si>
    <t xml:space="preserve">Má prazvláštní styl ale je to profesionál </t>
  </si>
  <si>
    <t xml:space="preserve">Neutrální </t>
  </si>
  <si>
    <t xml:space="preserve">Bojovník </t>
  </si>
  <si>
    <t>boring</t>
  </si>
  <si>
    <t>neznávám</t>
  </si>
  <si>
    <t>to není osobnost</t>
  </si>
  <si>
    <t>ok procházky</t>
  </si>
  <si>
    <t xml:space="preserve">Dobrý </t>
  </si>
  <si>
    <t>žádný</t>
  </si>
  <si>
    <t xml:space="preserve">Nevím </t>
  </si>
  <si>
    <t>nevybavím si nic</t>
  </si>
  <si>
    <t>divná</t>
  </si>
  <si>
    <t>Férový chlap</t>
  </si>
  <si>
    <t>Nic moc</t>
  </si>
  <si>
    <t>Bijec</t>
  </si>
  <si>
    <t>ujde</t>
  </si>
  <si>
    <t>love</t>
  </si>
  <si>
    <t>Svaly</t>
  </si>
  <si>
    <t xml:space="preserve">Fešák </t>
  </si>
  <si>
    <t>Bez emocí</t>
  </si>
  <si>
    <t>kvalítní reprezentace ve světě UFC</t>
  </si>
  <si>
    <t>anger</t>
  </si>
  <si>
    <t>hnus</t>
  </si>
  <si>
    <t xml:space="preserve">Nemám MMA v oblibě 
</t>
  </si>
  <si>
    <t>ok</t>
  </si>
  <si>
    <t xml:space="preserve">Přísný </t>
  </si>
  <si>
    <t xml:space="preserve">Sport </t>
  </si>
  <si>
    <t>Pohodový</t>
  </si>
  <si>
    <t>Zadny</t>
  </si>
  <si>
    <t>neznam</t>
  </si>
  <si>
    <t xml:space="preserve">Sportovec </t>
  </si>
  <si>
    <t>bojovník</t>
  </si>
  <si>
    <t>Sympatak</t>
  </si>
  <si>
    <t>Sportovec a rovný člověk</t>
  </si>
  <si>
    <t>působí nepříjemně</t>
  </si>
  <si>
    <t xml:space="preserve">Nemám žádnou asociaci </t>
  </si>
  <si>
    <t>Nezaujal mne</t>
  </si>
  <si>
    <t xml:space="preserve">Neznámá </t>
  </si>
  <si>
    <t xml:space="preserve">Skvělí bojovník </t>
  </si>
  <si>
    <t>Nějaký MSM?</t>
  </si>
  <si>
    <t xml:space="preserve">neznám, ale asi zápasník </t>
  </si>
  <si>
    <t>mám pocit, že je to nějaký zápasník a není mi moc sympatický</t>
  </si>
  <si>
    <t xml:space="preserve">Blbeček </t>
  </si>
  <si>
    <t xml:space="preserve">neznám </t>
  </si>
  <si>
    <t>pěkný</t>
  </si>
  <si>
    <t>borec</t>
  </si>
  <si>
    <t>Dobrý</t>
  </si>
  <si>
    <t xml:space="preserve">Milouš, děda mého exmanžela se s ním zná osobně :D </t>
  </si>
  <si>
    <t>nic mi to neříká</t>
  </si>
  <si>
    <t>Trochu se bojím, že dostanu přes pusu</t>
  </si>
  <si>
    <t>kliďas</t>
  </si>
  <si>
    <t xml:space="preserve">Sympatický </t>
  </si>
  <si>
    <t>Profík, dříč</t>
  </si>
  <si>
    <t>Nesympatický</t>
  </si>
  <si>
    <t>nějaký bojovník v kleci?</t>
  </si>
  <si>
    <t>neutrální</t>
  </si>
  <si>
    <t xml:space="preserve">Borec </t>
  </si>
  <si>
    <t>Obycejny</t>
  </si>
  <si>
    <t>Ok</t>
  </si>
  <si>
    <t>Spíš negativní, tuším, že je to nějaký homofob</t>
  </si>
  <si>
    <t xml:space="preserve">Velký bojovník </t>
  </si>
  <si>
    <t xml:space="preserve">Dobrý pocit </t>
  </si>
  <si>
    <t>Moc drsný</t>
  </si>
  <si>
    <t>Vousy</t>
  </si>
  <si>
    <t xml:space="preserve">Nezajímavý </t>
  </si>
  <si>
    <t>Nesymaticky</t>
  </si>
  <si>
    <t>fešák, hezoun, do koča i do voza</t>
  </si>
  <si>
    <t xml:space="preserve">nevím kdo to je
</t>
  </si>
  <si>
    <t>Dobrý zápasník</t>
  </si>
  <si>
    <t>borec, skromný kluk</t>
  </si>
  <si>
    <t>Zápasníci mě nezajímají</t>
  </si>
  <si>
    <t xml:space="preserve">Moc neznám </t>
  </si>
  <si>
    <t xml:space="preserve">Není mně moc sympatický </t>
  </si>
  <si>
    <t xml:space="preserve">Neznám </t>
  </si>
  <si>
    <t>Tuto osobnost moc nemusím, protože se tetují a bojuje sporty.</t>
  </si>
  <si>
    <t>Ujde</t>
  </si>
  <si>
    <t>Nejlepší bojovník na světe</t>
  </si>
  <si>
    <t xml:space="preserve">Nevím zvláštní pan neznám </t>
  </si>
  <si>
    <t xml:space="preserve">Nedobrý </t>
  </si>
  <si>
    <t xml:space="preserve">Nesleduji </t>
  </si>
  <si>
    <t>nezaujal</t>
  </si>
  <si>
    <t>Fousek</t>
  </si>
  <si>
    <t>nevím o koho jde</t>
  </si>
  <si>
    <t>Zlo</t>
  </si>
  <si>
    <t>Rvac</t>
  </si>
  <si>
    <t>Vůbec se nechytám</t>
  </si>
  <si>
    <t>nesympatický</t>
  </si>
  <si>
    <t>divnej</t>
  </si>
  <si>
    <t>nemam rád bijce</t>
  </si>
  <si>
    <t>Nevím kdo to je</t>
  </si>
  <si>
    <t>nevím kdo to je</t>
  </si>
  <si>
    <t>Zradci?</t>
  </si>
  <si>
    <t>Nevypadá moc hezky</t>
  </si>
  <si>
    <t>zápasník MMA, borec</t>
  </si>
  <si>
    <t xml:space="preserve">Mma zápasník </t>
  </si>
  <si>
    <t>neutrál</t>
  </si>
  <si>
    <t>v pohodě</t>
  </si>
  <si>
    <t xml:space="preserve">nekoukám na to
</t>
  </si>
  <si>
    <t>not sure kdo to je</t>
  </si>
  <si>
    <t xml:space="preserve">Nelíbí se mi </t>
  </si>
  <si>
    <t>Vypadá dobře</t>
  </si>
  <si>
    <t xml:space="preserve">Povedomy </t>
  </si>
  <si>
    <t>OK</t>
  </si>
  <si>
    <t xml:space="preserve">Divný </t>
  </si>
  <si>
    <t>dobrý</t>
  </si>
  <si>
    <t>Profi</t>
  </si>
  <si>
    <t xml:space="preserve">Neviem zaradiť </t>
  </si>
  <si>
    <t>znám ale nepélí mi to</t>
  </si>
  <si>
    <t xml:space="preserve">Silný muž </t>
  </si>
  <si>
    <t>Cool promoce násilí</t>
  </si>
  <si>
    <t xml:space="preserve">Frajirek </t>
  </si>
  <si>
    <t>Přísný</t>
  </si>
  <si>
    <t>Hyper focused týpek</t>
  </si>
  <si>
    <t>výborný bijec</t>
  </si>
  <si>
    <t xml:space="preserve">Samurai </t>
  </si>
  <si>
    <t>Neutrální</t>
  </si>
  <si>
    <t>určitě hraje v nějaké reklamě na kosmetiku</t>
  </si>
  <si>
    <t>Tvrdý chlap</t>
  </si>
  <si>
    <t xml:space="preserve">Normální </t>
  </si>
  <si>
    <t>lidský zabiják</t>
  </si>
  <si>
    <t>neuitrální</t>
  </si>
  <si>
    <t xml:space="preserve">Narcis </t>
  </si>
  <si>
    <t>Zqpasnik</t>
  </si>
  <si>
    <t>Borec</t>
  </si>
  <si>
    <t xml:space="preserve">Perfektní kluk </t>
  </si>
  <si>
    <t>To je nějaký džihádista?</t>
  </si>
  <si>
    <t xml:space="preserve">Žádný </t>
  </si>
  <si>
    <t xml:space="preserve">Neznám nikoho </t>
  </si>
  <si>
    <t>Já nikoho neznám :(</t>
  </si>
  <si>
    <t>Zadny, netusim, kdo to je</t>
  </si>
  <si>
    <t>nic moc</t>
  </si>
  <si>
    <t>Úžasný člověk a sportovec</t>
  </si>
  <si>
    <t>Procha</t>
  </si>
  <si>
    <t>Neznám, možná bojovnik</t>
  </si>
  <si>
    <t>Miluju ho</t>
  </si>
  <si>
    <t>Trochu vypadá jako bijec asi bych ho musel líp poznat abych se přiklonil nalevo či napravo</t>
  </si>
  <si>
    <t>Zradce</t>
  </si>
  <si>
    <t>Nic neříkající</t>
  </si>
  <si>
    <t>Netusim kdo to je</t>
  </si>
  <si>
    <t>Zarputilost</t>
  </si>
  <si>
    <t xml:space="preserve">Zápasník </t>
  </si>
  <si>
    <t>měl by se oholit</t>
  </si>
  <si>
    <t>není mi sympatický</t>
  </si>
  <si>
    <t xml:space="preserve">Nic moc </t>
  </si>
  <si>
    <t xml:space="preserve">Skvělý bojovník </t>
  </si>
  <si>
    <t>Myslím že jo znám z medii</t>
  </si>
  <si>
    <t>Super sportovec</t>
  </si>
  <si>
    <t>nikdo zajímavý</t>
  </si>
  <si>
    <t xml:space="preserve">Respekt </t>
  </si>
  <si>
    <t xml:space="preserve">Zvláštní to člověk </t>
  </si>
  <si>
    <t>Skvělý sportovec, úžasné hodnoty</t>
  </si>
  <si>
    <t>asi nějaký bojovníj</t>
  </si>
  <si>
    <t>Divny</t>
  </si>
  <si>
    <t>Je úspěšný bojovník v MMA. Tvrdě si jde za svým cílem.</t>
  </si>
  <si>
    <t>neutrální pocit</t>
  </si>
  <si>
    <t xml:space="preserve">Nejlepší zápasník všech dob </t>
  </si>
  <si>
    <t>Takový zvláštní chlap</t>
  </si>
  <si>
    <t>normální pocit</t>
  </si>
  <si>
    <t>.</t>
  </si>
  <si>
    <t>frajer</t>
  </si>
  <si>
    <t>nesympaticky</t>
  </si>
  <si>
    <t xml:space="preserve">Není mi sympatický </t>
  </si>
  <si>
    <t>Dobrý.</t>
  </si>
  <si>
    <t>nicmoc</t>
  </si>
  <si>
    <t xml:space="preserve">Tvrďák </t>
  </si>
  <si>
    <t>Super, jen si nevzpomenu na jméno</t>
  </si>
  <si>
    <t>bijec</t>
  </si>
  <si>
    <t xml:space="preserve">Příjemný </t>
  </si>
  <si>
    <t>od vidění znám, jméno nevybavím</t>
  </si>
  <si>
    <t>Od pohledu debil</t>
  </si>
  <si>
    <t xml:space="preserve">Super </t>
  </si>
  <si>
    <t>fešák</t>
  </si>
  <si>
    <t>Zajimavy clovek</t>
  </si>
  <si>
    <t xml:space="preserve">sympaťák </t>
  </si>
  <si>
    <t>MMA, je dobrej</t>
  </si>
  <si>
    <t xml:space="preserve">Vytrvalost </t>
  </si>
  <si>
    <t>nepůsobí přátelsky</t>
  </si>
  <si>
    <t xml:space="preserve">Nesympatický </t>
  </si>
  <si>
    <t>neurčitý</t>
  </si>
  <si>
    <t>celkem jo</t>
  </si>
  <si>
    <t xml:space="preserve">Rvačka </t>
  </si>
  <si>
    <t xml:space="preserve">Bojovník, který nemá úplně vymláceno v hlavě </t>
  </si>
  <si>
    <t>neznám ho</t>
  </si>
  <si>
    <t>sexy</t>
  </si>
  <si>
    <t xml:space="preserve">Jiří Procházka </t>
  </si>
  <si>
    <t>Trochu přísný</t>
  </si>
  <si>
    <t>....</t>
  </si>
  <si>
    <t xml:space="preserve">Procházka </t>
  </si>
  <si>
    <t xml:space="preserve">Ujde </t>
  </si>
  <si>
    <t>Nelibi se mi</t>
  </si>
  <si>
    <t>netuším kdo to je</t>
  </si>
  <si>
    <t>Frajer</t>
  </si>
  <si>
    <t>Drsňák</t>
  </si>
  <si>
    <t>Super</t>
  </si>
  <si>
    <t>Žádný</t>
  </si>
  <si>
    <t>známý bojovník, ale nemám rád tento "sport"</t>
  </si>
  <si>
    <t xml:space="preserve">Neni mic sympatický </t>
  </si>
  <si>
    <t>Nesleduju moc bojový sporty. Nemám názor.</t>
  </si>
  <si>
    <t>nic mi nerika, pusobi neutralne</t>
  </si>
  <si>
    <t>Fighter</t>
  </si>
  <si>
    <t xml:space="preserve">Zvláštní </t>
  </si>
  <si>
    <t xml:space="preserve">Mam ho rada </t>
  </si>
  <si>
    <t>ty fousy by chtěly ostříhat, nebo jsou divný</t>
  </si>
  <si>
    <t>Asi sportovec</t>
  </si>
  <si>
    <t xml:space="preserve">Bojové sporty mě neberou </t>
  </si>
  <si>
    <t>dwarf</t>
  </si>
  <si>
    <t>Průměr</t>
  </si>
  <si>
    <t>jde to</t>
  </si>
  <si>
    <t>Profecional</t>
  </si>
  <si>
    <t>Vtip</t>
  </si>
  <si>
    <t>Survivor</t>
  </si>
  <si>
    <t xml:space="preserve">Bojový zápasník </t>
  </si>
  <si>
    <t>Nesympatický.</t>
  </si>
  <si>
    <t>namyšlený</t>
  </si>
  <si>
    <t>lhostejnost</t>
  </si>
  <si>
    <t>trosku neupraveny, presel bych na druhou stranu ulice...</t>
  </si>
  <si>
    <t>Znám jen jméno</t>
  </si>
  <si>
    <t>Mma zapasnik</t>
  </si>
  <si>
    <t>FOUSÁČ</t>
  </si>
  <si>
    <t>Je to sympaťák a bojovník</t>
  </si>
  <si>
    <t>Spojuji si ho s MMA - nic mě ale nenapadá</t>
  </si>
  <si>
    <t>Uspech a pile</t>
  </si>
  <si>
    <t>Pokorný člověk</t>
  </si>
  <si>
    <t>Duverujodny</t>
  </si>
  <si>
    <t>fajn chlap a skvely bojovnik</t>
  </si>
  <si>
    <t>už něco i vyhrál</t>
  </si>
  <si>
    <t>Nezajímá mě</t>
  </si>
  <si>
    <t>MMA bojovník</t>
  </si>
  <si>
    <t xml:space="preserve">Reprezentace ČR </t>
  </si>
  <si>
    <t xml:space="preserve">Drsňák </t>
  </si>
  <si>
    <t>Fesak</t>
  </si>
  <si>
    <t>Mms</t>
  </si>
  <si>
    <t>respekt</t>
  </si>
  <si>
    <t>Nelibi</t>
  </si>
  <si>
    <t>Agr</t>
  </si>
  <si>
    <t>vysoké ambice</t>
  </si>
  <si>
    <t>Nw</t>
  </si>
  <si>
    <t xml:space="preserve">Srdcovka </t>
  </si>
  <si>
    <t>mohl by se oholit</t>
  </si>
  <si>
    <t>Šikovný chlapec s vysokoškolským titulem</t>
  </si>
  <si>
    <t>Moc neznam</t>
  </si>
  <si>
    <t>neutralni moc osobu neznam</t>
  </si>
  <si>
    <t>neznám, takže žádný</t>
  </si>
  <si>
    <t xml:space="preserve">Neznám ho </t>
  </si>
  <si>
    <t>Mma nemusim</t>
  </si>
  <si>
    <t>Samuraj</t>
  </si>
  <si>
    <t xml:space="preserve"> Xxd</t>
  </si>
  <si>
    <t xml:space="preserve">Samuraj </t>
  </si>
  <si>
    <t>typek</t>
  </si>
  <si>
    <t>Moc ho nemusim</t>
  </si>
  <si>
    <t>BIJEC</t>
  </si>
  <si>
    <t>normální</t>
  </si>
  <si>
    <t>tvrďák</t>
  </si>
  <si>
    <t>Celkem běžný chlap</t>
  </si>
  <si>
    <t>Zápisník?</t>
  </si>
  <si>
    <t>Není mi sympatický</t>
  </si>
  <si>
    <t>Vím pouze, že se jedná o nějakého fightera, jménem si nejsem jistá</t>
  </si>
  <si>
    <t xml:space="preserve">Oktagon </t>
  </si>
  <si>
    <t>moc ho neznám</t>
  </si>
  <si>
    <t>Tento druh mužů mi neinponuje</t>
  </si>
  <si>
    <t>Dobrý sportovec v zápasu.</t>
  </si>
  <si>
    <t>Neandrtálec</t>
  </si>
  <si>
    <t>skvělý boxér</t>
  </si>
  <si>
    <t>Nic pro mě</t>
  </si>
  <si>
    <t>love a hrdost</t>
  </si>
  <si>
    <t>Nevím co si myslet</t>
  </si>
  <si>
    <t>Nevim o koho jde</t>
  </si>
  <si>
    <t>V zivote jsem toho cloveka nevidel</t>
  </si>
  <si>
    <t>nznám</t>
  </si>
  <si>
    <t>drsnej týpek</t>
  </si>
  <si>
    <t>Vazn</t>
  </si>
  <si>
    <t>Je divnej</t>
  </si>
  <si>
    <t>bojovný</t>
  </si>
  <si>
    <t xml:space="preserve">To je procházka </t>
  </si>
  <si>
    <t>nevim kdo to je</t>
  </si>
  <si>
    <t>mužný</t>
  </si>
  <si>
    <t>Úplně si nevyb</t>
  </si>
  <si>
    <t>Neoholeny</t>
  </si>
  <si>
    <t xml:space="preserve">Asi mma? </t>
  </si>
  <si>
    <t>příjemný</t>
  </si>
  <si>
    <t>Moc se mi nelíbí.</t>
  </si>
  <si>
    <t>Fuj chlap</t>
  </si>
  <si>
    <t>Borec a dříč</t>
  </si>
  <si>
    <t>BOREC</t>
  </si>
  <si>
    <t>Zapasník</t>
  </si>
  <si>
    <t>Moc zarostlý</t>
  </si>
  <si>
    <t xml:space="preserve">Nepřístupný </t>
  </si>
  <si>
    <t>Polívka? 🤔</t>
  </si>
  <si>
    <t>Měl se oholit obráceně.</t>
  </si>
  <si>
    <t>nemuzu si vzpomenout, kdo to je</t>
  </si>
  <si>
    <t>No lepší no</t>
  </si>
  <si>
    <t xml:space="preserve">Frajer </t>
  </si>
  <si>
    <t>Není to namachrovany kretén jako většina v MMA</t>
  </si>
  <si>
    <t>morous</t>
  </si>
  <si>
    <t xml:space="preserve">Rváč </t>
  </si>
  <si>
    <t xml:space="preserve">Nevím o koho se jedná, ale vypadá jako MMA zápasník a ten sport nemám ráda </t>
  </si>
  <si>
    <t>Agres</t>
  </si>
  <si>
    <t>Zápasník.</t>
  </si>
  <si>
    <t xml:space="preserve">Normálně </t>
  </si>
  <si>
    <t xml:space="preserve">Tak ten baví </t>
  </si>
  <si>
    <t>nic běžný</t>
  </si>
  <si>
    <t>Sila</t>
  </si>
  <si>
    <t>Jestli je to ten, co dělá MMM, tak to nesleduji.</t>
  </si>
  <si>
    <t>Vylízaný dement</t>
  </si>
  <si>
    <t>Nějak se mi nevybavuje tato osobnost</t>
  </si>
  <si>
    <t>novodobý gladiátor</t>
  </si>
  <si>
    <t>Nic mi neříká. Sympatický mi není</t>
  </si>
  <si>
    <t>Cílevědomý sportovec</t>
  </si>
  <si>
    <t>Sportu, ktery provozuje, nerzumim</t>
  </si>
  <si>
    <t>Nepoznala jsem ho</t>
  </si>
  <si>
    <t xml:space="preserve">Nevím nesledují </t>
  </si>
  <si>
    <t>čistá hlava</t>
  </si>
  <si>
    <t>Sympos</t>
  </si>
  <si>
    <t>bouchač</t>
  </si>
  <si>
    <t>Nezn</t>
  </si>
  <si>
    <t>Nepříjemný pocit</t>
  </si>
  <si>
    <t>dobry</t>
  </si>
  <si>
    <t>nelíbí se mi</t>
  </si>
  <si>
    <t>Hyns</t>
  </si>
  <si>
    <t>Chloupa cesky fight sceny</t>
  </si>
  <si>
    <t>netusim o koho jde</t>
  </si>
  <si>
    <t>Dobrej figter</t>
  </si>
  <si>
    <t>Zápasník MMI</t>
  </si>
  <si>
    <t>Nekoukám moc na tv</t>
  </si>
  <si>
    <t xml:space="preserve">Divný vzhledem </t>
  </si>
  <si>
    <t xml:space="preserve">Nic </t>
  </si>
  <si>
    <t>Osobnost</t>
  </si>
  <si>
    <t xml:space="preserve">neznám ho </t>
  </si>
  <si>
    <t>Moc ezo</t>
  </si>
  <si>
    <t>vůbec nevím, nějaký boreček</t>
  </si>
  <si>
    <t>Neutral</t>
  </si>
  <si>
    <t>nevím A proč bych měl mít nějaký pocit z obrázku chlapa</t>
  </si>
  <si>
    <t xml:space="preserve">Nevim </t>
  </si>
  <si>
    <t>Trestanec ?</t>
  </si>
  <si>
    <t xml:space="preserve">Silák </t>
  </si>
  <si>
    <t>Neznám ho</t>
  </si>
  <si>
    <t>neznám tuto osobnosst</t>
  </si>
  <si>
    <t xml:space="preserve">Nevím kdo to je </t>
  </si>
  <si>
    <t>vošklivej chlap</t>
  </si>
  <si>
    <t>nemůžu si vzpomenout na jméno</t>
  </si>
  <si>
    <t>super</t>
  </si>
  <si>
    <t>plytká osoba</t>
  </si>
  <si>
    <t>Vousatý chlsp</t>
  </si>
  <si>
    <t xml:space="preserve">Skvělý sportovec </t>
  </si>
  <si>
    <t>profesionalita</t>
  </si>
  <si>
    <t xml:space="preserve">Působí na mě nesympatický a moc sebevědomě </t>
  </si>
  <si>
    <t xml:space="preserve">Neznám, obyčejný </t>
  </si>
  <si>
    <t>kvalitní sportovec</t>
  </si>
  <si>
    <t xml:space="preserve">Nic mi to neříká </t>
  </si>
  <si>
    <t>Nemám rád tento sport</t>
  </si>
  <si>
    <t>Opice</t>
  </si>
  <si>
    <t xml:space="preserve">Neutrální, neznám </t>
  </si>
  <si>
    <t>neandrtalec?</t>
  </si>
  <si>
    <t>SYMPATAK</t>
  </si>
  <si>
    <t>celkem dobrý</t>
  </si>
  <si>
    <t>Fotbalista</t>
  </si>
  <si>
    <t>Zlý</t>
  </si>
  <si>
    <t xml:space="preserve">Nevim kdo to je </t>
  </si>
  <si>
    <t>Nemám na něj žádný názor</t>
  </si>
  <si>
    <t xml:space="preserve">Výborný </t>
  </si>
  <si>
    <t>Nemám ráda tenhle sport .On mi není sympatický.Tedy snad je to on</t>
  </si>
  <si>
    <t xml:space="preserve">Nevím přesně </t>
  </si>
  <si>
    <t>nelíbí se mi jako člověk</t>
  </si>
  <si>
    <t>Co vám k němu sedí?</t>
  </si>
  <si>
    <t>dělají víc pro zákazníky</t>
  </si>
  <si>
    <t>kvalita a férovost</t>
  </si>
  <si>
    <t>spolehlivost</t>
  </si>
  <si>
    <t>levná služba</t>
  </si>
  <si>
    <t>lidský, jeden z nás</t>
  </si>
  <si>
    <t>sportovní přenosy</t>
  </si>
  <si>
    <t>A znáte **Jiřího Procházku** alespoň podle jména?</t>
  </si>
  <si>
    <t>ANO</t>
  </si>
  <si>
    <t>NE</t>
  </si>
  <si>
    <t>Gambrinus</t>
  </si>
  <si>
    <t>gambrinus</t>
  </si>
  <si>
    <t>air bank</t>
  </si>
  <si>
    <t>pojišťovny</t>
  </si>
  <si>
    <t>Herec</t>
  </si>
  <si>
    <t>A3 sport</t>
  </si>
  <si>
    <t>Reziser</t>
  </si>
  <si>
    <t>Neznma</t>
  </si>
  <si>
    <t>Pivo ??</t>
  </si>
  <si>
    <t>pivo staropramen</t>
  </si>
  <si>
    <t>Znám ho a je nesympatický , není ani herec a reklamy jsou trapne</t>
  </si>
  <si>
    <t>Česká televize</t>
  </si>
  <si>
    <t>Nevím ale znám</t>
  </si>
  <si>
    <t>Czc</t>
  </si>
  <si>
    <t>nějaké pivo propaguje...</t>
  </si>
  <si>
    <t>Air bank</t>
  </si>
  <si>
    <t>nic mě nenapadá</t>
  </si>
  <si>
    <t>Staropramen</t>
  </si>
  <si>
    <t>Istenik</t>
  </si>
  <si>
    <t>google</t>
  </si>
  <si>
    <t>mcdonalds</t>
  </si>
  <si>
    <t>kaufland</t>
  </si>
  <si>
    <t>pivo</t>
  </si>
  <si>
    <t>Lion</t>
  </si>
  <si>
    <t>Pivo Krušovice</t>
  </si>
  <si>
    <t>Media?</t>
  </si>
  <si>
    <t>Nějaká banka</t>
  </si>
  <si>
    <t>cambrinus</t>
  </si>
  <si>
    <t>netuším</t>
  </si>
  <si>
    <t>Pivo</t>
  </si>
  <si>
    <t>Mma zapas</t>
  </si>
  <si>
    <t>Olomoucké tvarůžky</t>
  </si>
  <si>
    <t>značku nevím</t>
  </si>
  <si>
    <t>Klik</t>
  </si>
  <si>
    <t>nějaký alkohol?</t>
  </si>
  <si>
    <t>České seriály, rádoby komik</t>
  </si>
  <si>
    <t>Film</t>
  </si>
  <si>
    <t>tely</t>
  </si>
  <si>
    <t>žádnou, nebo nějaký jogurt</t>
  </si>
  <si>
    <t>mdb</t>
  </si>
  <si>
    <t>Redaktor, televize, známá osobnost</t>
  </si>
  <si>
    <t>herec</t>
  </si>
  <si>
    <t>banku</t>
  </si>
  <si>
    <t>Politika</t>
  </si>
  <si>
    <t>Neviem priradiť</t>
  </si>
  <si>
    <t>prima</t>
  </si>
  <si>
    <t>Známý publicista</t>
  </si>
  <si>
    <t>Cais</t>
  </si>
  <si>
    <t>Pivo?</t>
  </si>
  <si>
    <t>gambáč týpek</t>
  </si>
  <si>
    <t>Budweisser</t>
  </si>
  <si>
    <t>fio bank</t>
  </si>
  <si>
    <t>Mladá Fronta</t>
  </si>
  <si>
    <t>Nova</t>
  </si>
  <si>
    <t>Energie</t>
  </si>
  <si>
    <t>Gambrinis</t>
  </si>
  <si>
    <t>isteník</t>
  </si>
  <si>
    <t>Dycky most</t>
  </si>
  <si>
    <t>Asi herec?</t>
  </si>
  <si>
    <t>Mw</t>
  </si>
  <si>
    <t>Gambrinus? Vodafone? Teď nevím 😁</t>
  </si>
  <si>
    <t>Smich</t>
  </si>
  <si>
    <t>jožin z bažin</t>
  </si>
  <si>
    <t>Pivo Gambrinus</t>
  </si>
  <si>
    <t>čt</t>
  </si>
  <si>
    <t>Istebník</t>
  </si>
  <si>
    <t>divadlo</t>
  </si>
  <si>
    <t>Nejaky pivo</t>
  </si>
  <si>
    <t>Most</t>
  </si>
  <si>
    <t>nějaké pivo</t>
  </si>
  <si>
    <t>herec,nevím jméno</t>
  </si>
  <si>
    <t>ALza</t>
  </si>
  <si>
    <t>vůbec</t>
  </si>
  <si>
    <t>Herec, to vim, znacku ne</t>
  </si>
  <si>
    <t>Budvar</t>
  </si>
  <si>
    <t>již jsem ho několikrát viděl v televizi</t>
  </si>
  <si>
    <t>husa na provázku?</t>
  </si>
  <si>
    <t>MOST</t>
  </si>
  <si>
    <t>někde jsem ho viděla ale nevím kdo to je</t>
  </si>
  <si>
    <t>Zabava</t>
  </si>
  <si>
    <t>Znám podle obličeje ale ne přímo jméno</t>
  </si>
  <si>
    <t>staropramen</t>
  </si>
  <si>
    <t>Most, sranda Gambrinus</t>
  </si>
  <si>
    <t>banka</t>
  </si>
  <si>
    <t>Nejake pivo, snad kozel?</t>
  </si>
  <si>
    <t>NEVÍM</t>
  </si>
  <si>
    <t>Divadlo</t>
  </si>
  <si>
    <t>ČT</t>
  </si>
  <si>
    <t>Moderátor</t>
  </si>
  <si>
    <t>Pivo kozel</t>
  </si>
  <si>
    <t>Plzen</t>
  </si>
  <si>
    <t>Nějaké pivo</t>
  </si>
  <si>
    <t>Nevin</t>
  </si>
  <si>
    <t>Radegast</t>
  </si>
  <si>
    <t>Air Bank</t>
  </si>
  <si>
    <t>Dsd</t>
  </si>
  <si>
    <t>Prostřeno</t>
  </si>
  <si>
    <t>Vůbec nevím</t>
  </si>
  <si>
    <t>Vybavím si reklamu na pivo</t>
  </si>
  <si>
    <t>nezodpovědnost</t>
  </si>
  <si>
    <t>režisér</t>
  </si>
  <si>
    <t>Něco mi říká, ale nevím</t>
  </si>
  <si>
    <t>Banka</t>
  </si>
  <si>
    <t>Tele....</t>
  </si>
  <si>
    <t>liga muzske moudrosti</t>
  </si>
  <si>
    <t>Kokotov</t>
  </si>
  <si>
    <t>air bank, nějaké pivo</t>
  </si>
  <si>
    <t>optika</t>
  </si>
  <si>
    <t>Adresu bank</t>
  </si>
  <si>
    <t>jistota</t>
  </si>
  <si>
    <t>Isternik</t>
  </si>
  <si>
    <t>Chinaski</t>
  </si>
  <si>
    <t>Gamrinus</t>
  </si>
  <si>
    <t>Braník</t>
  </si>
  <si>
    <t>Pivo🙂</t>
  </si>
  <si>
    <t>kozel</t>
  </si>
  <si>
    <t>Reklama na pivo.</t>
  </si>
  <si>
    <t>GAMBRINUS</t>
  </si>
  <si>
    <t>Invia</t>
  </si>
  <si>
    <t>Isteník - herec</t>
  </si>
  <si>
    <t>☹️</t>
  </si>
  <si>
    <t>Jisteník</t>
  </si>
  <si>
    <t>Vždycky Most</t>
  </si>
  <si>
    <t>Prima</t>
  </si>
  <si>
    <t>hérečka</t>
  </si>
  <si>
    <t>Pohoda</t>
  </si>
  <si>
    <t>OBI</t>
  </si>
  <si>
    <t>Airbank</t>
  </si>
  <si>
    <t>CSOB</t>
  </si>
  <si>
    <t>Pejškov - soused</t>
  </si>
  <si>
    <t>Městské divadlo  Brno</t>
  </si>
  <si>
    <t>Uhel</t>
  </si>
  <si>
    <t>Znám</t>
  </si>
  <si>
    <t>It</t>
  </si>
  <si>
    <t>Vocilek</t>
  </si>
  <si>
    <t>známý herec</t>
  </si>
  <si>
    <t>pivo Gambrinus</t>
  </si>
  <si>
    <t>někdo z televize, jméno nevím</t>
  </si>
  <si>
    <t>Istenic</t>
  </si>
  <si>
    <t>T mobile</t>
  </si>
  <si>
    <t>Dycky MOST</t>
  </si>
  <si>
    <t>film</t>
  </si>
  <si>
    <t>Seriály</t>
  </si>
  <si>
    <t>Legrace</t>
  </si>
  <si>
    <t>vtip</t>
  </si>
  <si>
    <t>Nenapadá mi zadna značka</t>
  </si>
  <si>
    <t>coca cola</t>
  </si>
  <si>
    <t xml:space="preserve">Sympaťák </t>
  </si>
  <si>
    <t xml:space="preserve">Nevím je divnej </t>
  </si>
  <si>
    <t>Nerd</t>
  </si>
  <si>
    <t xml:space="preserve">Nevím kdo to je, tuctový muž </t>
  </si>
  <si>
    <t xml:space="preserve">otravný </t>
  </si>
  <si>
    <t>ok isteník</t>
  </si>
  <si>
    <t>Chlap</t>
  </si>
  <si>
    <t xml:space="preserve">Vtipný </t>
  </si>
  <si>
    <t>Jde to</t>
  </si>
  <si>
    <t>Není to velký sympaťák</t>
  </si>
  <si>
    <t>Takový neupravený</t>
  </si>
  <si>
    <t xml:space="preserve">Vynikající herec </t>
  </si>
  <si>
    <t>gamrinus</t>
  </si>
  <si>
    <t>Výborný herec</t>
  </si>
  <si>
    <t>sympatický</t>
  </si>
  <si>
    <t xml:space="preserve">Je fajn </t>
  </si>
  <si>
    <t>Normální kluk</t>
  </si>
  <si>
    <t xml:space="preserve">znám oblyčej ale jmeno si nevybavím </t>
  </si>
  <si>
    <t>nelibi se mi</t>
  </si>
  <si>
    <t xml:space="preserve">Neni mi moc sympatický </t>
  </si>
  <si>
    <t>Humor</t>
  </si>
  <si>
    <t>Smějící se</t>
  </si>
  <si>
    <t>je veselý</t>
  </si>
  <si>
    <t xml:space="preserve">Nemám ho ráda </t>
  </si>
  <si>
    <t xml:space="preserve">Normal </t>
  </si>
  <si>
    <t>Mily</t>
  </si>
  <si>
    <t>Ihnaťuk je všude, hlavně s Gambrinusem</t>
  </si>
  <si>
    <t>příjemný pán</t>
  </si>
  <si>
    <t>Usmevav</t>
  </si>
  <si>
    <t>mám ho ráda jako herce, není tuctový</t>
  </si>
  <si>
    <t>Tak</t>
  </si>
  <si>
    <t xml:space="preserve">legrace </t>
  </si>
  <si>
    <t>přátelský</t>
  </si>
  <si>
    <t>nevadí</t>
  </si>
  <si>
    <t>dobré reklamy</t>
  </si>
  <si>
    <t>Ok týpek</t>
  </si>
  <si>
    <t>klid a pohoda</t>
  </si>
  <si>
    <t xml:space="preserve">Jeden z mnoha </t>
  </si>
  <si>
    <t>Kvalitní herec</t>
  </si>
  <si>
    <t>Vtipný</t>
  </si>
  <si>
    <t>docela sympatický, nějaký herec</t>
  </si>
  <si>
    <t xml:space="preserve">Netuším kdo to je </t>
  </si>
  <si>
    <t xml:space="preserve">Nic neříkající </t>
  </si>
  <si>
    <t xml:space="preserve">Úsmev </t>
  </si>
  <si>
    <t xml:space="preserve">Obyčejný </t>
  </si>
  <si>
    <t>Fuj</t>
  </si>
  <si>
    <t>neznám ho tak nemůžu soudit no je sympaťák, taký prirodzenej</t>
  </si>
  <si>
    <t>Nvím</t>
  </si>
  <si>
    <t xml:space="preserve">Nic vtipného </t>
  </si>
  <si>
    <t xml:space="preserve">Zábavný </t>
  </si>
  <si>
    <t>Neznám ji a pocit obyčejný</t>
  </si>
  <si>
    <t>Mam ho rada</t>
  </si>
  <si>
    <t>nejsem si jist</t>
  </si>
  <si>
    <t>neznám, ten je nějaký zarostlý</t>
  </si>
  <si>
    <t xml:space="preserve">Je veselý </t>
  </si>
  <si>
    <t xml:space="preserve">Známý herec nemůžu si vzpomenout na jméno </t>
  </si>
  <si>
    <t xml:space="preserve">Dobrosrdecnost </t>
  </si>
  <si>
    <t xml:space="preserve">herec?
</t>
  </si>
  <si>
    <t>klid</t>
  </si>
  <si>
    <t>Bobek</t>
  </si>
  <si>
    <t>nevím kdo to je.. asi herec?</t>
  </si>
  <si>
    <t>pozitivní</t>
  </si>
  <si>
    <t>Nunanek</t>
  </si>
  <si>
    <t xml:space="preserve">Neznám ale sympaťák </t>
  </si>
  <si>
    <t>NEUTRÁL VCELKU SYMPATICKÝ</t>
  </si>
  <si>
    <t>dobrej herec</t>
  </si>
  <si>
    <t>neznam ho az tak..zase tak dobrý herec neni</t>
  </si>
  <si>
    <t xml:space="preserve">můžu ho </t>
  </si>
  <si>
    <t>ten je výbornej</t>
  </si>
  <si>
    <t>Znám jen si ho nevybavuji</t>
  </si>
  <si>
    <t>herec, komik</t>
  </si>
  <si>
    <t>ani tak, ani tak</t>
  </si>
  <si>
    <t>trošku Jouda</t>
  </si>
  <si>
    <t xml:space="preserve">Neznámý muž </t>
  </si>
  <si>
    <t>používám</t>
  </si>
  <si>
    <t>netuším co je to za značku, ačkoliv obličej mi je povědomý</t>
  </si>
  <si>
    <t>komediant</t>
  </si>
  <si>
    <t>Spolehlivost</t>
  </si>
  <si>
    <t>Santusák</t>
  </si>
  <si>
    <t>Super herec</t>
  </si>
  <si>
    <t xml:space="preserve">Neviem priradiť </t>
  </si>
  <si>
    <t>odněkud ho znám</t>
  </si>
  <si>
    <t>asi nevím kdo to je</t>
  </si>
  <si>
    <t xml:space="preserve">Znam </t>
  </si>
  <si>
    <t>Eh</t>
  </si>
  <si>
    <t xml:space="preserve">Sranda </t>
  </si>
  <si>
    <t>brno</t>
  </si>
  <si>
    <t>Usměvavý</t>
  </si>
  <si>
    <t>chillař</t>
  </si>
  <si>
    <t>dozrál</t>
  </si>
  <si>
    <t xml:space="preserve">Dobrý herec </t>
  </si>
  <si>
    <t>Milý</t>
  </si>
  <si>
    <t>působí jako člověk, který by v reklamě hrál</t>
  </si>
  <si>
    <t>nijaký</t>
  </si>
  <si>
    <t>Michal istenik</t>
  </si>
  <si>
    <t>humorný</t>
  </si>
  <si>
    <t>Skvělí dobrý bavič</t>
  </si>
  <si>
    <t>Neznàm ho</t>
  </si>
  <si>
    <t xml:space="preserve">Herec? </t>
  </si>
  <si>
    <t xml:space="preserve">Vůbec nevím o koho jde. </t>
  </si>
  <si>
    <t>nejasný</t>
  </si>
  <si>
    <t xml:space="preserve">Asi jsem nikdy neviděl </t>
  </si>
  <si>
    <t xml:space="preserve">Herec </t>
  </si>
  <si>
    <t>Super borec</t>
  </si>
  <si>
    <t>Sympaticky</t>
  </si>
  <si>
    <t>nevím, kdo to je</t>
  </si>
  <si>
    <t>Úleťák</t>
  </si>
  <si>
    <t>Zábavný</t>
  </si>
  <si>
    <t>Zvídavé pohledy a srdečnost</t>
  </si>
  <si>
    <t>Nepiju</t>
  </si>
  <si>
    <t>nepamatuju si jméno teho pána</t>
  </si>
  <si>
    <t>Je mi trošku povědomej, ale nevim</t>
  </si>
  <si>
    <t>Znám z tv</t>
  </si>
  <si>
    <t>Neznam jo</t>
  </si>
  <si>
    <t>Serialy cz</t>
  </si>
  <si>
    <t>hraje troubu v reklamě na pivo pro trouby</t>
  </si>
  <si>
    <t>Vtipny</t>
  </si>
  <si>
    <t>Nic mi tato osoba neříká.</t>
  </si>
  <si>
    <t>hospoda</t>
  </si>
  <si>
    <t xml:space="preserve">Nevybavím si žasnou značku </t>
  </si>
  <si>
    <t>Šoumen</t>
  </si>
  <si>
    <t>sympatické</t>
  </si>
  <si>
    <t>nula</t>
  </si>
  <si>
    <t>Veselý</t>
  </si>
  <si>
    <t>Skvělý herec</t>
  </si>
  <si>
    <t>šprýmař</t>
  </si>
  <si>
    <t xml:space="preserve">Obézní </t>
  </si>
  <si>
    <t xml:space="preserve">Průměr </t>
  </si>
  <si>
    <t xml:space="preserve">Co to je </t>
  </si>
  <si>
    <t>Normál</t>
  </si>
  <si>
    <t>Nemamho moc rada</t>
  </si>
  <si>
    <t>Dobrý herec</t>
  </si>
  <si>
    <t>uchylak</t>
  </si>
  <si>
    <t xml:space="preserve">Vtipná </t>
  </si>
  <si>
    <t xml:space="preserve">Normální pán </t>
  </si>
  <si>
    <t>Moc ho neznám, jen z reklam</t>
  </si>
  <si>
    <t>celkem sympaťák</t>
  </si>
  <si>
    <t xml:space="preserve">Nemůžu si vybavit </t>
  </si>
  <si>
    <t xml:space="preserve">Herec super, ale značku si s ním žádnou nespojuji :-) </t>
  </si>
  <si>
    <t xml:space="preserve">Naivní </t>
  </si>
  <si>
    <t xml:space="preserve">Nejaky herec </t>
  </si>
  <si>
    <t>působí celkem sympaticky</t>
  </si>
  <si>
    <t>Netuším tady z fotky, o koho jde.</t>
  </si>
  <si>
    <t>nic mi nerika</t>
  </si>
  <si>
    <t>Na pohodu herec</t>
  </si>
  <si>
    <t xml:space="preserve">Normální člověk </t>
  </si>
  <si>
    <t>ne, vlastně divadlo bolka polívky</t>
  </si>
  <si>
    <t>má hezký úsměv</t>
  </si>
  <si>
    <t>propagátor nezdravého životního stylu</t>
  </si>
  <si>
    <t>blboun</t>
  </si>
  <si>
    <t>tak asi v poho</t>
  </si>
  <si>
    <t>Ftipný</t>
  </si>
  <si>
    <t>Je divný</t>
  </si>
  <si>
    <t>ale jo</t>
  </si>
  <si>
    <t>Dobré srdce</t>
  </si>
  <si>
    <t xml:space="preserve">Výborný herec </t>
  </si>
  <si>
    <t>Neutrální.</t>
  </si>
  <si>
    <t>lidový</t>
  </si>
  <si>
    <t>normalni bezny clovek</t>
  </si>
  <si>
    <t>Žáfný</t>
  </si>
  <si>
    <t>Skruže?</t>
  </si>
  <si>
    <t>Neznám ji</t>
  </si>
  <si>
    <t>Divadlo a smich</t>
  </si>
  <si>
    <t>tlustej je</t>
  </si>
  <si>
    <t>Pusobi desive</t>
  </si>
  <si>
    <t>nemohu hodnotit protože ho neznám</t>
  </si>
  <si>
    <t>bude sranda?</t>
  </si>
  <si>
    <t>Fajn herec</t>
  </si>
  <si>
    <t>Nezmam</t>
  </si>
  <si>
    <t>bezny typek</t>
  </si>
  <si>
    <t xml:space="preserve">Zanedbaný </t>
  </si>
  <si>
    <t>má se dobře</t>
  </si>
  <si>
    <t>Propaguje pivo</t>
  </si>
  <si>
    <t xml:space="preserve">znam jen podle vizualu </t>
  </si>
  <si>
    <t>Ccc</t>
  </si>
  <si>
    <t xml:space="preserve">Jde to </t>
  </si>
  <si>
    <t>Vtipné reklamy</t>
  </si>
  <si>
    <t>Oj</t>
  </si>
  <si>
    <t>ASI DOBRÝ</t>
  </si>
  <si>
    <t>běžný</t>
  </si>
  <si>
    <t>falešná tvář</t>
  </si>
  <si>
    <t>matně si vybavuji</t>
  </si>
  <si>
    <t>Znám ho jako herce</t>
  </si>
  <si>
    <t>Trochu typek</t>
  </si>
  <si>
    <t>Veselý typ</t>
  </si>
  <si>
    <t>Neznám, nevím o koho jde</t>
  </si>
  <si>
    <t xml:space="preserve">Reklama </t>
  </si>
  <si>
    <t>Dobry</t>
  </si>
  <si>
    <t>Optimistický tip</t>
  </si>
  <si>
    <t>Nevím kdo to je.</t>
  </si>
  <si>
    <t xml:space="preserve">Hrůza a děs </t>
  </si>
  <si>
    <t>moc mi nesedí</t>
  </si>
  <si>
    <t>dobrý herec</t>
  </si>
  <si>
    <t>vtipný</t>
  </si>
  <si>
    <t>Brno</t>
  </si>
  <si>
    <t xml:space="preserve">Optimisticky </t>
  </si>
  <si>
    <t>tváří se příjemně</t>
  </si>
  <si>
    <t xml:space="preserve">nic neříkající </t>
  </si>
  <si>
    <t>Neznam ani tohohle clo</t>
  </si>
  <si>
    <t>Dtto</t>
  </si>
  <si>
    <t>Herec, super</t>
  </si>
  <si>
    <t>Sranda</t>
  </si>
  <si>
    <t xml:space="preserve">Nevím kdo to je obličeje mám problém </t>
  </si>
  <si>
    <t>dobry herec</t>
  </si>
  <si>
    <t>srdečný</t>
  </si>
  <si>
    <t>Sympat</t>
  </si>
  <si>
    <t xml:space="preserve">Kdo to je? </t>
  </si>
  <si>
    <t>Veselost</t>
  </si>
  <si>
    <t>Neutrál</t>
  </si>
  <si>
    <t>Líbí se mi.</t>
  </si>
  <si>
    <t>Nesympatak</t>
  </si>
  <si>
    <t>Je na pohodu</t>
  </si>
  <si>
    <t>Neutrální, neznám ho.</t>
  </si>
  <si>
    <t>SUPER</t>
  </si>
  <si>
    <t>vypadá jako cestovatel</t>
  </si>
  <si>
    <t xml:space="preserve">Humorný </t>
  </si>
  <si>
    <t>Normální týpek</t>
  </si>
  <si>
    <t>příjemný herec</t>
  </si>
  <si>
    <t xml:space="preserve">Fajn borec, vtipný </t>
  </si>
  <si>
    <t>Neznalm</t>
  </si>
  <si>
    <t>Je dobrej</t>
  </si>
  <si>
    <t xml:space="preserve">Nepoznáváme </t>
  </si>
  <si>
    <t>Nevím o koho se jedná :)</t>
  </si>
  <si>
    <t>Nestridmost</t>
  </si>
  <si>
    <t>Ujde to.</t>
  </si>
  <si>
    <t xml:space="preserve">Bavič </t>
  </si>
  <si>
    <t xml:space="preserve">Neuráží nebaví </t>
  </si>
  <si>
    <t>nuda</t>
  </si>
  <si>
    <t>Na mě je moc žoviální, tento typ humoru neberu.</t>
  </si>
  <si>
    <t>Normální člověk</t>
  </si>
  <si>
    <t>Stupidní</t>
  </si>
  <si>
    <t>Nic se mi nevybavuje</t>
  </si>
  <si>
    <t>nedbá o sebe</t>
  </si>
  <si>
    <t>Docela sympaťák</t>
  </si>
  <si>
    <t>Prumerny herec</t>
  </si>
  <si>
    <t>Vtipné</t>
  </si>
  <si>
    <t>normální člověk</t>
  </si>
  <si>
    <t>fajn</t>
  </si>
  <si>
    <t>průměr</t>
  </si>
  <si>
    <t>sympaťák</t>
  </si>
  <si>
    <t>herec ze seriálu Most</t>
  </si>
  <si>
    <t>Nevím, co napsat</t>
  </si>
  <si>
    <t>Sympať</t>
  </si>
  <si>
    <t>Fajn, legrace</t>
  </si>
  <si>
    <t>reklamy</t>
  </si>
  <si>
    <t>Od nekud povedomi</t>
  </si>
  <si>
    <t>Mam ho rad</t>
  </si>
  <si>
    <t>Nevypada moc duveryhodne</t>
  </si>
  <si>
    <t>Není moc důvěryhodný, možná protože točí zápornou roky v reklamě na air bank</t>
  </si>
  <si>
    <t xml:space="preserve">Sympatická </t>
  </si>
  <si>
    <t xml:space="preserve">Ne </t>
  </si>
  <si>
    <t>tuším je to herec</t>
  </si>
  <si>
    <t>pohodový člověk</t>
  </si>
  <si>
    <t>Smíšek</t>
  </si>
  <si>
    <t>nevím A jaký bych měl mít pocit z obrázku nějakýho chlapa</t>
  </si>
  <si>
    <t>neutralni</t>
  </si>
  <si>
    <t xml:space="preserve">Znám </t>
  </si>
  <si>
    <t>Osklivej chlap</t>
  </si>
  <si>
    <t>Tradice</t>
  </si>
  <si>
    <t>Moc ho nemus</t>
  </si>
  <si>
    <t>dobrý pocit</t>
  </si>
  <si>
    <t>nepoznavam</t>
  </si>
  <si>
    <t xml:space="preserve">Neznám pána </t>
  </si>
  <si>
    <t>podvodník</t>
  </si>
  <si>
    <t xml:space="preserve">Není sympaťák </t>
  </si>
  <si>
    <t xml:space="preserve">Má pěkný úsměv </t>
  </si>
  <si>
    <t xml:space="preserve">Sympaťák, jako někdo kdo bydlí vedle mě </t>
  </si>
  <si>
    <t xml:space="preserve">Moc ho nevidam </t>
  </si>
  <si>
    <t>znám ho podle obličeje ale více si nevybavuju</t>
  </si>
  <si>
    <t>někoho mi připomíná</t>
  </si>
  <si>
    <t>:-)</t>
  </si>
  <si>
    <t>je v pohodě</t>
  </si>
  <si>
    <t>Upřímný</t>
  </si>
  <si>
    <t>Opět neznám 😀</t>
  </si>
  <si>
    <t>neznam ho</t>
  </si>
  <si>
    <t>Srandista</t>
  </si>
  <si>
    <t xml:space="preserve">Vyzerá príjemne, sympaticky </t>
  </si>
  <si>
    <t xml:space="preserve">Povědomý </t>
  </si>
  <si>
    <t>Je veselý a docela příjemný</t>
  </si>
  <si>
    <t>Nevim,ale je sympaticky</t>
  </si>
  <si>
    <t>Rozporuplný</t>
  </si>
  <si>
    <t>A znáte **Michala Isteníka** alespoň podle jména?</t>
  </si>
  <si>
    <t>Petr Čech</t>
  </si>
  <si>
    <t>Škoda</t>
  </si>
  <si>
    <t>Nedovedu si vybavit</t>
  </si>
  <si>
    <t>Čech</t>
  </si>
  <si>
    <t>nějaká bankq</t>
  </si>
  <si>
    <t>Brankar</t>
  </si>
  <si>
    <t>o2</t>
  </si>
  <si>
    <t>Chelsea, česká Repre, O2, Arsenal</t>
  </si>
  <si>
    <t>Petr čech</t>
  </si>
  <si>
    <t>Puma</t>
  </si>
  <si>
    <t>Dominátor</t>
  </si>
  <si>
    <t>Sazka</t>
  </si>
  <si>
    <t>Znám ale nevím kam zařadit</t>
  </si>
  <si>
    <t>O2</t>
  </si>
  <si>
    <t>Česká spořitelna</t>
  </si>
  <si>
    <t>sportovní</t>
  </si>
  <si>
    <t>čech</t>
  </si>
  <si>
    <t>Chelsea</t>
  </si>
  <si>
    <t>sport, o2,</t>
  </si>
  <si>
    <t>Dominik Hašek</t>
  </si>
  <si>
    <t>Umbro</t>
  </si>
  <si>
    <t>Sportovni</t>
  </si>
  <si>
    <t>VW</t>
  </si>
  <si>
    <t>Chelsea FC</t>
  </si>
  <si>
    <t>český fotbal</t>
  </si>
  <si>
    <t>penny</t>
  </si>
  <si>
    <t>Dekatlon</t>
  </si>
  <si>
    <t>Nějaký brankář</t>
  </si>
  <si>
    <t>Pleas a jeji nova sada čepic</t>
  </si>
  <si>
    <t>Arsenal</t>
  </si>
  <si>
    <t>nevím, Petr Čech</t>
  </si>
  <si>
    <t>Dr.  House</t>
  </si>
  <si>
    <t>Hellmans</t>
  </si>
  <si>
    <t>Hašek</t>
  </si>
  <si>
    <t>Fifa</t>
  </si>
  <si>
    <t>FOtbal</t>
  </si>
  <si>
    <t>hokej , sportovec , brankář ,</t>
  </si>
  <si>
    <t>tenis</t>
  </si>
  <si>
    <t>hašek</t>
  </si>
  <si>
    <t>FIFA</t>
  </si>
  <si>
    <t>Golman</t>
  </si>
  <si>
    <t>sport?</t>
  </si>
  <si>
    <t>chelsea</t>
  </si>
  <si>
    <t>Jů, chalsea fc</t>
  </si>
  <si>
    <t>brankář</t>
  </si>
  <si>
    <t>Dgna</t>
  </si>
  <si>
    <t>Šebrle</t>
  </si>
  <si>
    <t>Fotbal,Premier League</t>
  </si>
  <si>
    <t>manfield</t>
  </si>
  <si>
    <t>Čech petr</t>
  </si>
  <si>
    <t>Petr cech</t>
  </si>
  <si>
    <t>Whisky</t>
  </si>
  <si>
    <t>ten fotbalista s helmou?</t>
  </si>
  <si>
    <t>petr cech</t>
  </si>
  <si>
    <t>Fotball</t>
  </si>
  <si>
    <t>Hellmann's</t>
  </si>
  <si>
    <t>Oneplay</t>
  </si>
  <si>
    <t>Livesport</t>
  </si>
  <si>
    <t>oneplay</t>
  </si>
  <si>
    <t>Premier league</t>
  </si>
  <si>
    <t>Hajzl</t>
  </si>
  <si>
    <t>O2 Komentátor</t>
  </si>
  <si>
    <t>Petr Čech , Adidas</t>
  </si>
  <si>
    <t>nějaký fotbalista</t>
  </si>
  <si>
    <t>Peter czech</t>
  </si>
  <si>
    <t>národní fotbalový tým</t>
  </si>
  <si>
    <t>nevím, nějakej fotbalista?</t>
  </si>
  <si>
    <t>Debil</t>
  </si>
  <si>
    <t>česká spořitelna</t>
  </si>
  <si>
    <t>Chytrý sportovec</t>
  </si>
  <si>
    <t>Solidnost</t>
  </si>
  <si>
    <t>Mizuno</t>
  </si>
  <si>
    <t>FOTBAL</t>
  </si>
  <si>
    <t>facr</t>
  </si>
  <si>
    <t>fotbal chelsea</t>
  </si>
  <si>
    <t>Fotbal ?</t>
  </si>
  <si>
    <t>02</t>
  </si>
  <si>
    <t>Premiér League</t>
  </si>
  <si>
    <t>Fotbalový zápas</t>
  </si>
  <si>
    <t>Hasek</t>
  </si>
  <si>
    <t>sazka</t>
  </si>
  <si>
    <t>Petr Čech Adidas</t>
  </si>
  <si>
    <t>Sdr</t>
  </si>
  <si>
    <t>Dr Vit</t>
  </si>
  <si>
    <t>chytry</t>
  </si>
  <si>
    <t>Fotbal značku nevím</t>
  </si>
  <si>
    <t>slizák</t>
  </si>
  <si>
    <t>dominik hašek</t>
  </si>
  <si>
    <t>Hokej?</t>
  </si>
  <si>
    <t>Nevíž</t>
  </si>
  <si>
    <t>Tenis</t>
  </si>
  <si>
    <t>sportovní potřeby</t>
  </si>
  <si>
    <t>samostatný</t>
  </si>
  <si>
    <t>manager</t>
  </si>
  <si>
    <t>Datart</t>
  </si>
  <si>
    <t>Planeo</t>
  </si>
  <si>
    <t>Energetické napoje</t>
  </si>
  <si>
    <t>blbec, neznám značku</t>
  </si>
  <si>
    <t>SPARTA PRAHA</t>
  </si>
  <si>
    <t>CHELSEA</t>
  </si>
  <si>
    <t>Nějaké sázení?</t>
  </si>
  <si>
    <t>Datard</t>
  </si>
  <si>
    <t>always</t>
  </si>
  <si>
    <t>Televize</t>
  </si>
  <si>
    <t>Petr Čech brankář</t>
  </si>
  <si>
    <t>PumA</t>
  </si>
  <si>
    <t>česka spořitelna</t>
  </si>
  <si>
    <t>Fotbal?</t>
  </si>
  <si>
    <t>Dominik Hasek</t>
  </si>
  <si>
    <t>plechový mozek</t>
  </si>
  <si>
    <t>sport</t>
  </si>
  <si>
    <t>Chelsea, samsung</t>
  </si>
  <si>
    <t>Helmans</t>
  </si>
  <si>
    <t>Cech</t>
  </si>
  <si>
    <t>Žádná značka</t>
  </si>
  <si>
    <t>fuj</t>
  </si>
  <si>
    <t>tenista  Radek</t>
  </si>
  <si>
    <t>One play</t>
  </si>
  <si>
    <t>O2, Tipsport</t>
  </si>
  <si>
    <t>Sportovní noviny nova</t>
  </si>
  <si>
    <t>Brankář</t>
  </si>
  <si>
    <t>NEVIM</t>
  </si>
  <si>
    <t>🍀</t>
  </si>
  <si>
    <t>Vůbec netuším kdo to je</t>
  </si>
  <si>
    <t xml:space="preserve">Neutral </t>
  </si>
  <si>
    <t xml:space="preserve">Známý český brankář Petr Čech </t>
  </si>
  <si>
    <t>dobrý člověk</t>
  </si>
  <si>
    <t>proč se plete do politiky</t>
  </si>
  <si>
    <t>Tvář sportu</t>
  </si>
  <si>
    <t>petr čech je super</t>
  </si>
  <si>
    <t xml:space="preserve">Muž </t>
  </si>
  <si>
    <t>Výborný sportovec</t>
  </si>
  <si>
    <t xml:space="preserve">Fér </t>
  </si>
  <si>
    <t>fotbalista</t>
  </si>
  <si>
    <t>Nevýrazný</t>
  </si>
  <si>
    <t>Vynikající fotbalový b</t>
  </si>
  <si>
    <t>Divný výraz</t>
  </si>
  <si>
    <t>Výborný bra</t>
  </si>
  <si>
    <t>Co úsměv?</t>
  </si>
  <si>
    <t>Brankař</t>
  </si>
  <si>
    <t xml:space="preserve">Nemusím ho </t>
  </si>
  <si>
    <t>Důvěryhodný obličej</t>
  </si>
  <si>
    <t>nejlepší český golman Historie</t>
  </si>
  <si>
    <t xml:space="preserve">Profesionál </t>
  </si>
  <si>
    <t xml:space="preserve">Fotbal </t>
  </si>
  <si>
    <t>legenda</t>
  </si>
  <si>
    <t>Nesypativky</t>
  </si>
  <si>
    <t>Celkem sympatický</t>
  </si>
  <si>
    <t>velký dříč</t>
  </si>
  <si>
    <t>Běžný typ chlapa</t>
  </si>
  <si>
    <t>Arogance</t>
  </si>
  <si>
    <t xml:space="preserve">Sympatie </t>
  </si>
  <si>
    <t>Hašek?</t>
  </si>
  <si>
    <t xml:space="preserve">moc neznám, ale asi to bude čech </t>
  </si>
  <si>
    <t>vím, že je to fotbalista, ale nedokážu říct nic víc</t>
  </si>
  <si>
    <t xml:space="preserve">Petr Čech </t>
  </si>
  <si>
    <t>nej brankář</t>
  </si>
  <si>
    <t xml:space="preserve">Byl sympaťák, teď se ale rozvádí
</t>
  </si>
  <si>
    <t>mám ho rád</t>
  </si>
  <si>
    <t>nezajímavý člověk</t>
  </si>
  <si>
    <t>Skromná legenda</t>
  </si>
  <si>
    <t>Spor</t>
  </si>
  <si>
    <t>že by Čech?</t>
  </si>
  <si>
    <t xml:space="preserve">Profesionální </t>
  </si>
  <si>
    <t>Legenda</t>
  </si>
  <si>
    <t>neutrální, asi nějaký sportovec</t>
  </si>
  <si>
    <t xml:space="preserve">Bývalá hvězda </t>
  </si>
  <si>
    <t>Úspěšný bran</t>
  </si>
  <si>
    <t>Byl slusny</t>
  </si>
  <si>
    <t>Dokázal toho hodne, velikú poklonu mu skladám. Všichni ho mají rádí. Je to Velikán</t>
  </si>
  <si>
    <t>Sikovnej</t>
  </si>
  <si>
    <t xml:space="preserve">frajer </t>
  </si>
  <si>
    <t>Radost</t>
  </si>
  <si>
    <t>známý z TV</t>
  </si>
  <si>
    <t xml:space="preserve">Důvěra </t>
  </si>
  <si>
    <t>Neznám osobnost a takový normální</t>
  </si>
  <si>
    <t>Nejlepší brankář Petr Čech</t>
  </si>
  <si>
    <t xml:space="preserve">Nevím smíšené pocity </t>
  </si>
  <si>
    <t xml:space="preserve">Ostrazitost </t>
  </si>
  <si>
    <t>sportovec</t>
  </si>
  <si>
    <t>pusobí tak</t>
  </si>
  <si>
    <t>asi v pohodě brankář.. ale fotbal nesleduju:)</t>
  </si>
  <si>
    <t>Petr Čech fotbal</t>
  </si>
  <si>
    <t>unavený, ustaraný</t>
  </si>
  <si>
    <t>Skvělý sportovec</t>
  </si>
  <si>
    <t>Sportovní celebrita</t>
  </si>
  <si>
    <t>nemastný neslaný</t>
  </si>
  <si>
    <t>furt s tou helmou na hlave  - cíťa je to</t>
  </si>
  <si>
    <t>no snad dobrý</t>
  </si>
  <si>
    <t>dobrej chlap</t>
  </si>
  <si>
    <t>Skvělý</t>
  </si>
  <si>
    <t>super brankář - tankista</t>
  </si>
  <si>
    <t>vím, že je to fotbalista</t>
  </si>
  <si>
    <t>normál</t>
  </si>
  <si>
    <t>reprezentant</t>
  </si>
  <si>
    <t xml:space="preserve">Férový sportovec, chytrý </t>
  </si>
  <si>
    <t>Dobrej</t>
  </si>
  <si>
    <t xml:space="preserve">Neznam </t>
  </si>
  <si>
    <t>Super brankar</t>
  </si>
  <si>
    <t xml:space="preserve">Skvělý sportovec a člověk </t>
  </si>
  <si>
    <t>Nepoznam</t>
  </si>
  <si>
    <t xml:space="preserve">Známý sportovec </t>
  </si>
  <si>
    <t>Cool</t>
  </si>
  <si>
    <t xml:space="preserve">Seriózní </t>
  </si>
  <si>
    <t>helma</t>
  </si>
  <si>
    <t>Přísní</t>
  </si>
  <si>
    <t xml:space="preserve">Hokej, fotbal, Bicák… umí přenášet zkušenosti z různých řemesel na jiné. To že si ho značka dá naplakát neznamená, že to umí i ona </t>
  </si>
  <si>
    <t>dobrý brankář</t>
  </si>
  <si>
    <t xml:space="preserve">Šampion </t>
  </si>
  <si>
    <t xml:space="preserve">Dobrý sportovec </t>
  </si>
  <si>
    <t>nejsem si jistá, kdo to je, takže nemohu posoudit</t>
  </si>
  <si>
    <t>solidní</t>
  </si>
  <si>
    <t>skvělý</t>
  </si>
  <si>
    <t>Mám ho celkem rad</t>
  </si>
  <si>
    <t>Důvěra</t>
  </si>
  <si>
    <t xml:space="preserve">Šikovný, ale nijak zvlášť ho nemusím </t>
  </si>
  <si>
    <t xml:space="preserve">Další neznámý muž. </t>
  </si>
  <si>
    <t>Nejlepší český brankář, můj dětský hrdina</t>
  </si>
  <si>
    <t xml:space="preserve">Skvělý brankář </t>
  </si>
  <si>
    <t xml:space="preserve">Takový neutrální jen fotka je pro mě málo </t>
  </si>
  <si>
    <t>Je běžný chlap</t>
  </si>
  <si>
    <t xml:space="preserve">Brankář reprezentace ČR </t>
  </si>
  <si>
    <t>splehlivx</t>
  </si>
  <si>
    <t>Neutrální pohled</t>
  </si>
  <si>
    <t>Super hráč</t>
  </si>
  <si>
    <t>Nejsem klient</t>
  </si>
  <si>
    <t>Nesleduji ho</t>
  </si>
  <si>
    <t>Nějaké pán</t>
  </si>
  <si>
    <t xml:space="preserve">Dobrý fotbalista </t>
  </si>
  <si>
    <t>výborný brankář</t>
  </si>
  <si>
    <t xml:space="preserve">Brankářská legenda </t>
  </si>
  <si>
    <t>Nevim, neznám</t>
  </si>
  <si>
    <t>Hokejista Hašek</t>
  </si>
  <si>
    <t xml:space="preserve">Pokud se nemylim tak je to Petr Čech </t>
  </si>
  <si>
    <t xml:space="preserve">Je dobrej </t>
  </si>
  <si>
    <t>Jeden z nejlepších gólmanů vůbec</t>
  </si>
  <si>
    <t>sportovec za zenitem</t>
  </si>
  <si>
    <t>Zmetek</t>
  </si>
  <si>
    <t>Komentuje zápasy na O2 TV.</t>
  </si>
  <si>
    <t xml:space="preserve">Výborný bývali fotbalový gólman </t>
  </si>
  <si>
    <t>vůle</t>
  </si>
  <si>
    <t xml:space="preserve">Fotbalista, nevzpomenu na jméno </t>
  </si>
  <si>
    <t xml:space="preserve">Kam vítr tam plášť, jako sportovec dobrý </t>
  </si>
  <si>
    <t>neuttral</t>
  </si>
  <si>
    <t xml:space="preserve">Dobrý brankář </t>
  </si>
  <si>
    <t>Fajn</t>
  </si>
  <si>
    <t>je fajn</t>
  </si>
  <si>
    <t xml:space="preserve">Extra brankář </t>
  </si>
  <si>
    <t xml:space="preserve">Kdo neskáče </t>
  </si>
  <si>
    <t>Fer clvork</t>
  </si>
  <si>
    <t xml:space="preserve">legenda českého fotbalu </t>
  </si>
  <si>
    <t>Nevybavuji si</t>
  </si>
  <si>
    <t xml:space="preserve">FAČR </t>
  </si>
  <si>
    <t>známá</t>
  </si>
  <si>
    <t>jo dobrý golman</t>
  </si>
  <si>
    <t>nevím kdo to je nemohu posoudit</t>
  </si>
  <si>
    <t xml:space="preserve">Jeden z mála normálních fotbalistů </t>
  </si>
  <si>
    <t>je ok</t>
  </si>
  <si>
    <t>Nesleduji fotbal</t>
  </si>
  <si>
    <t>vůbec nevím kdo to je</t>
  </si>
  <si>
    <t xml:space="preserve">Jen znám </t>
  </si>
  <si>
    <t xml:space="preserve">Neznámá tvář </t>
  </si>
  <si>
    <t xml:space="preserve">Čech </t>
  </si>
  <si>
    <t>Nelibibse mi</t>
  </si>
  <si>
    <t>Myslím, že to je Petr Čech</t>
  </si>
  <si>
    <t>Reprezentuje naší zemi</t>
  </si>
  <si>
    <t>fotbal, sport</t>
  </si>
  <si>
    <t>žádný pocit</t>
  </si>
  <si>
    <t xml:space="preserve">Prostě osoba </t>
  </si>
  <si>
    <t>Petr je legenda českýho sportu a inteligentní člověk.</t>
  </si>
  <si>
    <t>duveryhodnost, empatie</t>
  </si>
  <si>
    <t>Peta no</t>
  </si>
  <si>
    <t xml:space="preserve">V pohodě fotbalista </t>
  </si>
  <si>
    <t>hokejista</t>
  </si>
  <si>
    <t>normál, možná jsem ho už viděl</t>
  </si>
  <si>
    <t xml:space="preserve">Důvěryhodnost </t>
  </si>
  <si>
    <t>jednička</t>
  </si>
  <si>
    <t>má divné pravé ucho</t>
  </si>
  <si>
    <t>Dobrý brankář</t>
  </si>
  <si>
    <t xml:space="preserve">Fajn </t>
  </si>
  <si>
    <t>taky ne</t>
  </si>
  <si>
    <t>Nic mi to neříká.</t>
  </si>
  <si>
    <t>obycejny clovek</t>
  </si>
  <si>
    <t>Sympatický, chytrý</t>
  </si>
  <si>
    <t>Solidnost , spolehlivost</t>
  </si>
  <si>
    <t xml:space="preserve"> Nic mimořádného </t>
  </si>
  <si>
    <t>Fotbalista?</t>
  </si>
  <si>
    <t>JO SUPER CHLAP</t>
  </si>
  <si>
    <t>Myslím, že je to fotbalista</t>
  </si>
  <si>
    <t xml:space="preserve">Nezajímám se moc o sport </t>
  </si>
  <si>
    <t>Udpech a fotbal</t>
  </si>
  <si>
    <t xml:space="preserve">Skvělý </t>
  </si>
  <si>
    <t>profesionál se vším všudy</t>
  </si>
  <si>
    <t>Inteligentní, férový, poctivý</t>
  </si>
  <si>
    <t xml:space="preserve">Výborný brankář </t>
  </si>
  <si>
    <t>Chlapak5</t>
  </si>
  <si>
    <t>Umí hrát</t>
  </si>
  <si>
    <t>Super Čech</t>
  </si>
  <si>
    <t xml:space="preserve">Nejlepší český brankář ve fotbale a rozumný člověk. </t>
  </si>
  <si>
    <t>tezko rict</t>
  </si>
  <si>
    <t>Je to Čech ?</t>
  </si>
  <si>
    <t>hodně dokázal</t>
  </si>
  <si>
    <t>Me</t>
  </si>
  <si>
    <t xml:space="preserve">Není sympatický </t>
  </si>
  <si>
    <t>sportovní typ</t>
  </si>
  <si>
    <t>Pro mne neznámá osoba</t>
  </si>
  <si>
    <t>Neutralni</t>
  </si>
  <si>
    <t>Reprezentace Česka</t>
  </si>
  <si>
    <t>Fotbal nesleduji</t>
  </si>
  <si>
    <t>Goat</t>
  </si>
  <si>
    <t>Nevyrazny</t>
  </si>
  <si>
    <t xml:space="preserve">Picus </t>
  </si>
  <si>
    <t>fotbalista s presahem</t>
  </si>
  <si>
    <t>Dobrý brankar</t>
  </si>
  <si>
    <t>ŽE BY ČECH?</t>
  </si>
  <si>
    <t>nevěřím mu</t>
  </si>
  <si>
    <t>skvělý brankář</t>
  </si>
  <si>
    <t>Od nelud ho znám, ale nejsem si jista</t>
  </si>
  <si>
    <t>Obchodak</t>
  </si>
  <si>
    <t>Tuctový</t>
  </si>
  <si>
    <t>Podle obličeje nepoznám</t>
  </si>
  <si>
    <t xml:space="preserve">Brankář </t>
  </si>
  <si>
    <t>neznám...</t>
  </si>
  <si>
    <t>Byl to dobrý sportovec.</t>
  </si>
  <si>
    <t xml:space="preserve">Vo to je </t>
  </si>
  <si>
    <t xml:space="preserve">profesional </t>
  </si>
  <si>
    <t>vynikající fotbalový brankář</t>
  </si>
  <si>
    <t>Čechýno</t>
  </si>
  <si>
    <t>Sportovec se montuje do politiky</t>
  </si>
  <si>
    <t>Super chalan</t>
  </si>
  <si>
    <t>trochu mi připomíná brankáře Čecha</t>
  </si>
  <si>
    <t>Neu</t>
  </si>
  <si>
    <t>Neznam ho…</t>
  </si>
  <si>
    <t>fousy</t>
  </si>
  <si>
    <t>upjatý</t>
  </si>
  <si>
    <t>Já ho znám ale nevím odkud</t>
  </si>
  <si>
    <t xml:space="preserve">Dobrý 
</t>
  </si>
  <si>
    <t>tak je to slavny brankar</t>
  </si>
  <si>
    <t>Není u mne oblíbený</t>
  </si>
  <si>
    <t>Dobre</t>
  </si>
  <si>
    <t>Výdrž</t>
  </si>
  <si>
    <t xml:space="preserve">Že by Petr Čech? </t>
  </si>
  <si>
    <t>hrozný</t>
  </si>
  <si>
    <t>Sereda</t>
  </si>
  <si>
    <t>Neutrální, osobu neznám.</t>
  </si>
  <si>
    <t>LEGENDA</t>
  </si>
  <si>
    <t xml:space="preserve">Moc problémů </t>
  </si>
  <si>
    <t>Nesleduji sport</t>
  </si>
  <si>
    <t>hezký muž</t>
  </si>
  <si>
    <t>Inteligentní sportovec</t>
  </si>
  <si>
    <t>Ikona</t>
  </si>
  <si>
    <t>Nějaký sportovec</t>
  </si>
  <si>
    <t>Nuda</t>
  </si>
  <si>
    <t>Jeden z těch slušnějších</t>
  </si>
  <si>
    <t>Čech no</t>
  </si>
  <si>
    <t>žadný</t>
  </si>
  <si>
    <t>Dupr</t>
  </si>
  <si>
    <t>Asi jsem ho nikdy neviděla.</t>
  </si>
  <si>
    <t>Nepříjemný</t>
  </si>
  <si>
    <t>Někdo z fotbalu?</t>
  </si>
  <si>
    <t>Smisenou</t>
  </si>
  <si>
    <t>obyčejnej pohodář, fotka jak z občanky :)</t>
  </si>
  <si>
    <t>Je to Petr Čech. Ale nemá tu helmu</t>
  </si>
  <si>
    <t xml:space="preserve">Hašek legenda </t>
  </si>
  <si>
    <t>Na teto fotce nepoznavam o koho jde</t>
  </si>
  <si>
    <t>zvrdá hlava</t>
  </si>
  <si>
    <t>slušný</t>
  </si>
  <si>
    <t>Petr Čech, fotbalový brankář</t>
  </si>
  <si>
    <t>Spolehl</t>
  </si>
  <si>
    <t>Podporuje ukrajinu</t>
  </si>
  <si>
    <t>nevim o koho jde</t>
  </si>
  <si>
    <t>Moc nevypada duveryhodne</t>
  </si>
  <si>
    <t>je to sportovec?</t>
  </si>
  <si>
    <t>Skvělý reprezentant ceska</t>
  </si>
  <si>
    <t xml:space="preserve">je to chuj </t>
  </si>
  <si>
    <t>normální člověk, trochu nepříjemný</t>
  </si>
  <si>
    <t xml:space="preserve">Vážná tvář </t>
  </si>
  <si>
    <t>znám</t>
  </si>
  <si>
    <t>Divnej</t>
  </si>
  <si>
    <t>Na nic si nehraje</t>
  </si>
  <si>
    <t>Nepoznávám ho</t>
  </si>
  <si>
    <t>změnil se</t>
  </si>
  <si>
    <t>nevyznám se</t>
  </si>
  <si>
    <t>žádný, nevím kdo to je</t>
  </si>
  <si>
    <t xml:space="preserve">Neznám pana </t>
  </si>
  <si>
    <t xml:space="preserve">Nemám ho rád </t>
  </si>
  <si>
    <t>Známý sportovec</t>
  </si>
  <si>
    <t>prostě jednička</t>
  </si>
  <si>
    <t>Férový, sebejistý</t>
  </si>
  <si>
    <t xml:space="preserve">Nic pro me </t>
  </si>
  <si>
    <t>osobnost je muj pes, tohle neni osobnost</t>
  </si>
  <si>
    <t>Sportovec, legenda.</t>
  </si>
  <si>
    <t>Nijaký</t>
  </si>
  <si>
    <t>Neviem si ho zaradiť, ale vyzerá prísne</t>
  </si>
  <si>
    <t>Nevim,nemohu si vzpomenout</t>
  </si>
  <si>
    <t>A znáte **Petra Čecha** alespoň podle jména?</t>
  </si>
  <si>
    <t>Marek ztracený ale jakou zastupuje značku netuším</t>
  </si>
  <si>
    <t>Ztracený</t>
  </si>
  <si>
    <t>Je známá nedovedu si vybavit</t>
  </si>
  <si>
    <t>pojišťovna banka</t>
  </si>
  <si>
    <t>Hudba</t>
  </si>
  <si>
    <t>Marek ztracený</t>
  </si>
  <si>
    <t>Musical instrument</t>
  </si>
  <si>
    <t>mall</t>
  </si>
  <si>
    <t>Bandi</t>
  </si>
  <si>
    <t>Nauto</t>
  </si>
  <si>
    <t>hudba</t>
  </si>
  <si>
    <t>Vodafone</t>
  </si>
  <si>
    <t>ztracený</t>
  </si>
  <si>
    <t>Zpěvák</t>
  </si>
  <si>
    <t>Zpevak</t>
  </si>
  <si>
    <t>Marek ztraceny</t>
  </si>
  <si>
    <t>Jacobs</t>
  </si>
  <si>
    <t>zlatý slavík</t>
  </si>
  <si>
    <t>Mirai</t>
  </si>
  <si>
    <t>Marek Ztracený</t>
  </si>
  <si>
    <t>Źadna</t>
  </si>
  <si>
    <t>Český Slavík</t>
  </si>
  <si>
    <t>volkswagen</t>
  </si>
  <si>
    <t>Ztraceny</t>
  </si>
  <si>
    <t>nevm</t>
  </si>
  <si>
    <t>marek ztracený</t>
  </si>
  <si>
    <t>Ztracená rodina</t>
  </si>
  <si>
    <t>ztracený marek</t>
  </si>
  <si>
    <t>kondomy Durex</t>
  </si>
  <si>
    <t>Marek Nekonečný</t>
  </si>
  <si>
    <t>Muzika</t>
  </si>
  <si>
    <t>nevím,</t>
  </si>
  <si>
    <t>Spěvák</t>
  </si>
  <si>
    <t>Zpěvák , zlatý slavík, šumava</t>
  </si>
  <si>
    <t>zpěv</t>
  </si>
  <si>
    <t>zpěvák</t>
  </si>
  <si>
    <t>Loreal</t>
  </si>
  <si>
    <t>Kdo to je?</t>
  </si>
  <si>
    <t>Marek stracený</t>
  </si>
  <si>
    <t>Zpev</t>
  </si>
  <si>
    <t>Žadniu</t>
  </si>
  <si>
    <t>Značku nevím, ale vždy si vzpomenu,jak mé sestry jsou téhle,pitome a už to prehanej</t>
  </si>
  <si>
    <t>Clash of Stars</t>
  </si>
  <si>
    <t>Ztracený marek</t>
  </si>
  <si>
    <t>Nikoho</t>
  </si>
  <si>
    <t>marek ztraceny</t>
  </si>
  <si>
    <t>evropa 2</t>
  </si>
  <si>
    <t>Kytary.cz</t>
  </si>
  <si>
    <t>Netuším co má Marek ztracený za značku</t>
  </si>
  <si>
    <t>Kosile</t>
  </si>
  <si>
    <t>Slsvik</t>
  </si>
  <si>
    <t>ORIFLAME</t>
  </si>
  <si>
    <t>spíš podle xichtu</t>
  </si>
  <si>
    <t>Elody</t>
  </si>
  <si>
    <t>Zpěv</t>
  </si>
  <si>
    <t>Reality</t>
  </si>
  <si>
    <t>O2 arena</t>
  </si>
  <si>
    <t>Ztracena roddina</t>
  </si>
  <si>
    <t>hudba,</t>
  </si>
  <si>
    <t>denim</t>
  </si>
  <si>
    <t>Profesional</t>
  </si>
  <si>
    <t>Marek Ztraceny</t>
  </si>
  <si>
    <t>Kofola</t>
  </si>
  <si>
    <t>Koncert</t>
  </si>
  <si>
    <t>marius pedersen</t>
  </si>
  <si>
    <t>Oblekovou</t>
  </si>
  <si>
    <t>Generally</t>
  </si>
  <si>
    <t>Marek</t>
  </si>
  <si>
    <t>MZ ztracená rodina</t>
  </si>
  <si>
    <t>Manfild</t>
  </si>
  <si>
    <t>t-mobile</t>
  </si>
  <si>
    <t>Partners</t>
  </si>
  <si>
    <t>Nevim je to Marek Ztracený</t>
  </si>
  <si>
    <t>Nejsem si jistý, nevím.</t>
  </si>
  <si>
    <t>opět netuším</t>
  </si>
  <si>
    <t>Eden</t>
  </si>
  <si>
    <t>Hhh</t>
  </si>
  <si>
    <t>Old Spice</t>
  </si>
  <si>
    <t>Trosečník</t>
  </si>
  <si>
    <t>Moderování</t>
  </si>
  <si>
    <t>Televizní noviny</t>
  </si>
  <si>
    <t>veselý chlapík</t>
  </si>
  <si>
    <t>hudební nástroje</t>
  </si>
  <si>
    <t>inženýr</t>
  </si>
  <si>
    <t>Rádio</t>
  </si>
  <si>
    <t>Armani</t>
  </si>
  <si>
    <t>Čez</t>
  </si>
  <si>
    <t>Že by Bauhaus?</t>
  </si>
  <si>
    <t>Značku nevím, zpěvák</t>
  </si>
  <si>
    <t>??</t>
  </si>
  <si>
    <t>Marek Zvrácený</t>
  </si>
  <si>
    <t>Evropa 2</t>
  </si>
  <si>
    <t>ztracenej</t>
  </si>
  <si>
    <t>Písničky na jedno brdo</t>
  </si>
  <si>
    <t>2.místo ve Zlatém slavíku letos</t>
  </si>
  <si>
    <t>Supraphon?</t>
  </si>
  <si>
    <t>Písničky, hudba, Marek Ztraceny</t>
  </si>
  <si>
    <t>nějaký auto bazar</t>
  </si>
  <si>
    <t>Nic si nevybavuji</t>
  </si>
  <si>
    <t>M.Ztracený</t>
  </si>
  <si>
    <t>Marketing</t>
  </si>
  <si>
    <t>tohle to propaguje nějakou značku?</t>
  </si>
  <si>
    <t>Zlatý slavík</t>
  </si>
  <si>
    <t>exot</t>
  </si>
  <si>
    <t>Jbl</t>
  </si>
  <si>
    <t>CBD svět</t>
  </si>
  <si>
    <t>Nadační fond</t>
  </si>
  <si>
    <t>televize</t>
  </si>
  <si>
    <t>Marek Ztracený?</t>
  </si>
  <si>
    <t>Pěkný úsměv</t>
  </si>
  <si>
    <t>něco úplně ztraceného nebo zatraceného</t>
  </si>
  <si>
    <t>kdo to je?</t>
  </si>
  <si>
    <t>Šťastný</t>
  </si>
  <si>
    <t>Nekonečný</t>
  </si>
  <si>
    <t>Radio</t>
  </si>
  <si>
    <t>zpěv ,koncertz</t>
  </si>
  <si>
    <t>Sympaťak, mám ho rada</t>
  </si>
  <si>
    <t>Straceny</t>
  </si>
  <si>
    <t>,muzika,zpev</t>
  </si>
  <si>
    <t>Nejak me nezaujal</t>
  </si>
  <si>
    <t xml:space="preserve">No ten už je lepší </t>
  </si>
  <si>
    <t>Umí zpívat hezky</t>
  </si>
  <si>
    <t xml:space="preserve">Asi Marek ztracený, ale nejsem si jistý </t>
  </si>
  <si>
    <t xml:space="preserve">známý z televize </t>
  </si>
  <si>
    <t>děs</t>
  </si>
  <si>
    <t xml:space="preserve">Vousy </t>
  </si>
  <si>
    <t xml:space="preserve">fajn zpěvák </t>
  </si>
  <si>
    <t>Mám ho ráda, pěkné písně.</t>
  </si>
  <si>
    <t>Gay</t>
  </si>
  <si>
    <t xml:space="preserve">Miluji ho </t>
  </si>
  <si>
    <t>Pěkný chlap</t>
  </si>
  <si>
    <t>nepoznávám</t>
  </si>
  <si>
    <t xml:space="preserve">Známá </t>
  </si>
  <si>
    <t xml:space="preserve">Přecenovany umělec </t>
  </si>
  <si>
    <t>Pozitivní</t>
  </si>
  <si>
    <t>Žádný pocit že se směje jak blb</t>
  </si>
  <si>
    <t>v pohode</t>
  </si>
  <si>
    <t xml:space="preserve">Zpěvák </t>
  </si>
  <si>
    <t>je mi nesympatický</t>
  </si>
  <si>
    <t>Mám ho ráda jako zpěváka</t>
  </si>
  <si>
    <t>žádný, nijak na mě nepůsobí</t>
  </si>
  <si>
    <t xml:space="preserve">Zřejmě pozitivně naladěný chlápek </t>
  </si>
  <si>
    <t>Usměvavý, většinou naladěný v dobré nalade</t>
  </si>
  <si>
    <t>Kdo to je</t>
  </si>
  <si>
    <t xml:space="preserve">Pohoda, </t>
  </si>
  <si>
    <t xml:space="preserve">nesnáším ho! začne hrát v radiu a přepínám kamkoliv jinam, ty prostoduchý texty se nedají poslouchat :) </t>
  </si>
  <si>
    <t>pěknej chlap</t>
  </si>
  <si>
    <t>Fajn hudba, on jako člověk mi ne vždy sedí</t>
  </si>
  <si>
    <t>mě neoslovil</t>
  </si>
  <si>
    <t>Populární zpěvák s přesahem</t>
  </si>
  <si>
    <t>Je mily</t>
  </si>
  <si>
    <t xml:space="preserve">V pohodě </t>
  </si>
  <si>
    <t>super energie a vibe</t>
  </si>
  <si>
    <t xml:space="preserve">Je dobrý </t>
  </si>
  <si>
    <t>Hezky</t>
  </si>
  <si>
    <t>Můj oblíbený zpěvák to není, ale OK</t>
  </si>
  <si>
    <t xml:space="preserve">Luxusní písničky </t>
  </si>
  <si>
    <t>Úspěšný zp</t>
  </si>
  <si>
    <t xml:space="preserve">Milý </t>
  </si>
  <si>
    <t>pán zpěvák, velice solidární a úspešný. mám ho rada</t>
  </si>
  <si>
    <t>Milej</t>
  </si>
  <si>
    <t>nemám pocit</t>
  </si>
  <si>
    <t>Inteligentní humor</t>
  </si>
  <si>
    <t>Hezpun</t>
  </si>
  <si>
    <t>Pocit normální</t>
  </si>
  <si>
    <t>kdo  to je?</t>
  </si>
  <si>
    <t xml:space="preserve">Vypadá sympaticky </t>
  </si>
  <si>
    <t xml:space="preserve">Pohoda </t>
  </si>
  <si>
    <t>kosmetika pro pány?</t>
  </si>
  <si>
    <t>vypada přatelsky</t>
  </si>
  <si>
    <t xml:space="preserve">Slavík </t>
  </si>
  <si>
    <t>v pohodě zpěvák</t>
  </si>
  <si>
    <t xml:space="preserve">Nadšení </t>
  </si>
  <si>
    <t>neznám, pozitivní</t>
  </si>
  <si>
    <t>Krasne pisne</t>
  </si>
  <si>
    <t>Příjemný, hezke pisnicky</t>
  </si>
  <si>
    <t>pokud je to marek, ten působí sympaticky</t>
  </si>
  <si>
    <t>nemá oči</t>
  </si>
  <si>
    <t>nemusim ho</t>
  </si>
  <si>
    <t xml:space="preserve">Tenhle člověk mě nezajímá </t>
  </si>
  <si>
    <t>mám ho ráda</t>
  </si>
  <si>
    <t>není mi moc sympatický</t>
  </si>
  <si>
    <t>Falešný jak pětník.</t>
  </si>
  <si>
    <t>Nejlepší zpěvák</t>
  </si>
  <si>
    <t>dobrá muzika</t>
  </si>
  <si>
    <t>Vypadá jako realiťák</t>
  </si>
  <si>
    <t xml:space="preserve">eeew, dobu své největší slávy už má za sebou rozhodně. 
</t>
  </si>
  <si>
    <t>Adi hodný člověk, ale nemusím ho</t>
  </si>
  <si>
    <t>Vypadá spolehlivě</t>
  </si>
  <si>
    <t>shit muzika</t>
  </si>
  <si>
    <t xml:space="preserve">Jednooký člověk </t>
  </si>
  <si>
    <t xml:space="preserve">Smích </t>
  </si>
  <si>
    <t xml:space="preserve">Nie som si istá </t>
  </si>
  <si>
    <t>může skrývat cokoli</t>
  </si>
  <si>
    <t xml:space="preserve">Marek ztracený </t>
  </si>
  <si>
    <t>dobrý spěvák</t>
  </si>
  <si>
    <t>Celkem sympaťák</t>
  </si>
  <si>
    <t xml:space="preserve">Příjemný charakter </t>
  </si>
  <si>
    <t>Příjemný</t>
  </si>
  <si>
    <t>jeho písničky zrovna nemusím, ale asi je populární</t>
  </si>
  <si>
    <t>Vypadá hezky</t>
  </si>
  <si>
    <t xml:space="preserve">Normální chlap </t>
  </si>
  <si>
    <t>Zpěvák umí dobře zpivat</t>
  </si>
  <si>
    <t>Fádní</t>
  </si>
  <si>
    <t xml:space="preserve">Mango ráda </t>
  </si>
  <si>
    <t xml:space="preserve">Také neznám. </t>
  </si>
  <si>
    <t>Zadny. Je mi povedomy, ale netusim, kdo to je</t>
  </si>
  <si>
    <t>aspoň se usmívá</t>
  </si>
  <si>
    <t>Příjemný člověk na pohled</t>
  </si>
  <si>
    <t>Miluji</t>
  </si>
  <si>
    <t xml:space="preserve">Moc ho nemusím </t>
  </si>
  <si>
    <t>Je divny</t>
  </si>
  <si>
    <t>Lidský</t>
  </si>
  <si>
    <t>ferovy</t>
  </si>
  <si>
    <t xml:space="preserve">Srdečně </t>
  </si>
  <si>
    <t>Písničky</t>
  </si>
  <si>
    <t>Další nějaké pán</t>
  </si>
  <si>
    <t>pěkný chlap</t>
  </si>
  <si>
    <t>Nemusím ho</t>
  </si>
  <si>
    <t>Je lidsky</t>
  </si>
  <si>
    <t>nevím kdo je to</t>
  </si>
  <si>
    <t>Nevím, kdo to je</t>
  </si>
  <si>
    <t>Nemá špatné písně, ale všechny podobný styl a za mě je trochu overrated</t>
  </si>
  <si>
    <t>nevím, neznám</t>
  </si>
  <si>
    <t>Vlezly</t>
  </si>
  <si>
    <t>Má hodně fanoušků, je úspěšný, vyprodal Eden.</t>
  </si>
  <si>
    <t>Machyrek</t>
  </si>
  <si>
    <t>hodný člověk, ale jeho tvorba mě sere, je mega přeceňovaný</t>
  </si>
  <si>
    <t xml:space="preserve">Dobrý zpěvák </t>
  </si>
  <si>
    <t>Dobrý .</t>
  </si>
  <si>
    <t>Levák</t>
  </si>
  <si>
    <t>oblíbený zpěvák</t>
  </si>
  <si>
    <t>Skvělý pisníčkář</t>
  </si>
  <si>
    <t>Hnus</t>
  </si>
  <si>
    <t xml:space="preserve">Žádný pocit </t>
  </si>
  <si>
    <t xml:space="preserve">Je ho moc </t>
  </si>
  <si>
    <t>nic mi to neříká, asi moc malé</t>
  </si>
  <si>
    <t>sympaticky clovek</t>
  </si>
  <si>
    <t>Nesnasim ho</t>
  </si>
  <si>
    <t xml:space="preserve">nemám ráda jeho písničky </t>
  </si>
  <si>
    <t xml:space="preserve">Ztracený </t>
  </si>
  <si>
    <t>symatický</t>
  </si>
  <si>
    <t xml:space="preserve">Populární </t>
  </si>
  <si>
    <t>prumer</t>
  </si>
  <si>
    <t xml:space="preserve">Hezký </t>
  </si>
  <si>
    <t>Má vystaráno</t>
  </si>
  <si>
    <t>sympaták</t>
  </si>
  <si>
    <t xml:space="preserve">Nelíbí se mi jeho zpěv </t>
  </si>
  <si>
    <t>Poslouchám</t>
  </si>
  <si>
    <t>Veselost, pohoda</t>
  </si>
  <si>
    <t xml:space="preserve">Možná, Marek Ztracený? </t>
  </si>
  <si>
    <t xml:space="preserve">Neutralni </t>
  </si>
  <si>
    <t>známý zpěvák, ale písně jsou dost podobné</t>
  </si>
  <si>
    <t>simpatak</t>
  </si>
  <si>
    <t xml:space="preserve">Nelíbí </t>
  </si>
  <si>
    <t>neznám, ale působí sympaticky</t>
  </si>
  <si>
    <t>Mám ho rád. Skvělej zpěvák.</t>
  </si>
  <si>
    <t>sympaticky, autenticky usmev</t>
  </si>
  <si>
    <t xml:space="preserve">Sebevědomí </t>
  </si>
  <si>
    <t>Neřeším ho</t>
  </si>
  <si>
    <t>Popík</t>
  </si>
  <si>
    <t>Dobrý zpěvák</t>
  </si>
  <si>
    <t xml:space="preserve">Veselý člověk </t>
  </si>
  <si>
    <t xml:space="preserve">asi v poho. CHodila bych s ním </t>
  </si>
  <si>
    <t>Je bozi</t>
  </si>
  <si>
    <t xml:space="preserve">Neposlouchám ale je to borec </t>
  </si>
  <si>
    <t>Sympaťák.</t>
  </si>
  <si>
    <t>průměrný</t>
  </si>
  <si>
    <t>nejaky podvodnik nebo sazky, finance...</t>
  </si>
  <si>
    <t>Sympatický</t>
  </si>
  <si>
    <t>Nevím o co jde</t>
  </si>
  <si>
    <t>marek</t>
  </si>
  <si>
    <t>NEZNÁM</t>
  </si>
  <si>
    <t>Hezky, moc mě neberou jeho písničky, ake je lidsky</t>
  </si>
  <si>
    <t>Rozrušila mě jeho kauza s textem písně a nemusím ho jako interpreta</t>
  </si>
  <si>
    <t>Koncert a zpev</t>
  </si>
  <si>
    <t>Neduverohodny</t>
  </si>
  <si>
    <t>katast</t>
  </si>
  <si>
    <t>Příliš sladký...</t>
  </si>
  <si>
    <t>Falešný testosteron</t>
  </si>
  <si>
    <t>Milacek</t>
  </si>
  <si>
    <t>Zvolí správně</t>
  </si>
  <si>
    <t xml:space="preserve">Zpívat? </t>
  </si>
  <si>
    <t xml:space="preserve">Mamka ho má ráda </t>
  </si>
  <si>
    <t>financni poradce</t>
  </si>
  <si>
    <t>Dob</t>
  </si>
  <si>
    <t>Je to Marek Ztracený?</t>
  </si>
  <si>
    <t xml:space="preserve">Není to důvěryhodné </t>
  </si>
  <si>
    <t>Hezky zpíva</t>
  </si>
  <si>
    <t>žádná sláva</t>
  </si>
  <si>
    <t>Pro mne neznámá osobnost</t>
  </si>
  <si>
    <t>Proto</t>
  </si>
  <si>
    <t>Pozitivni</t>
  </si>
  <si>
    <t xml:space="preserve">tuto osobnos znam z radia </t>
  </si>
  <si>
    <t>Nemusim Ztraceneho</t>
  </si>
  <si>
    <t xml:space="preserve">Myslím že je to Marek Ztracený ale jistá si nejsem, pocit z něj mám smíšený </t>
  </si>
  <si>
    <t>Ztracim se v tvoji pameti</t>
  </si>
  <si>
    <t>Dff</t>
  </si>
  <si>
    <t>Prirozeny</t>
  </si>
  <si>
    <t xml:space="preserve">Pár pěkných písniček </t>
  </si>
  <si>
    <t xml:space="preserve">Chuj </t>
  </si>
  <si>
    <t xml:space="preserve">Švancara </t>
  </si>
  <si>
    <t>Má milé a hezké pisne</t>
  </si>
  <si>
    <t>KDO TO JE?</t>
  </si>
  <si>
    <t>veselý</t>
  </si>
  <si>
    <t>vyzařuje z něj štěstí</t>
  </si>
  <si>
    <t>dobré písničky</t>
  </si>
  <si>
    <t>Neznam ho</t>
  </si>
  <si>
    <t>Manaze</t>
  </si>
  <si>
    <t>Chlap, divný</t>
  </si>
  <si>
    <t>Vypadá jako typ muže, kterého můžete vidět v jakékoliv reklamě</t>
  </si>
  <si>
    <t xml:space="preserve">Hudba </t>
  </si>
  <si>
    <t xml:space="preserve">Oblíbený zpěvák </t>
  </si>
  <si>
    <t>Fešny</t>
  </si>
  <si>
    <t>je to sympaťák</t>
  </si>
  <si>
    <t>Sympatický a zábavný</t>
  </si>
  <si>
    <t>Nevím.</t>
  </si>
  <si>
    <t>Na pohodu</t>
  </si>
  <si>
    <t>výrazný typ</t>
  </si>
  <si>
    <t>skvělý zpěvák, upřímný, hezké písničky</t>
  </si>
  <si>
    <t>písničky</t>
  </si>
  <si>
    <t>nikoho mi nepřipomíná</t>
  </si>
  <si>
    <t>Neutra</t>
  </si>
  <si>
    <t>hezoun</t>
  </si>
  <si>
    <t>Vesely</t>
  </si>
  <si>
    <t>Taky nevim</t>
  </si>
  <si>
    <t>vubec nevim kdo to je</t>
  </si>
  <si>
    <t>lidský</t>
  </si>
  <si>
    <t>Tot</t>
  </si>
  <si>
    <t xml:space="preserve">Kdo to je </t>
  </si>
  <si>
    <t>Uhlazený</t>
  </si>
  <si>
    <t xml:space="preserve">Snad je to Kotek </t>
  </si>
  <si>
    <t>Bleeee</t>
  </si>
  <si>
    <t xml:space="preserve">Moc uhlazenej </t>
  </si>
  <si>
    <t>Neutrální, neznám.</t>
  </si>
  <si>
    <t>ZADNY NAZOR NA NEHO NEMAM</t>
  </si>
  <si>
    <t>Usměvavý člověk</t>
  </si>
  <si>
    <t xml:space="preserve">Slavná tvář </t>
  </si>
  <si>
    <t>Nějakej obchodnickej šizung</t>
  </si>
  <si>
    <t>Pojoda</t>
  </si>
  <si>
    <t>Jde kolem mě. Nezajem</t>
  </si>
  <si>
    <t>Mám ráda jeho hudbu</t>
  </si>
  <si>
    <t>Bezdůvodný optimismus</t>
  </si>
  <si>
    <t>Jo</t>
  </si>
  <si>
    <t>Fakt ebavi</t>
  </si>
  <si>
    <t xml:space="preserve">Usměvavý chlapík </t>
  </si>
  <si>
    <t>Z lidského hlediska ho takto hodnotím, do reklamy by neměl chodit.</t>
  </si>
  <si>
    <t>Člověk</t>
  </si>
  <si>
    <t xml:space="preserve">Výborný 
</t>
  </si>
  <si>
    <t>Moc ho nemusím, ale písničky OK</t>
  </si>
  <si>
    <t>Mám moc ráda tohoto zpěváka, kluka že Sumavy</t>
  </si>
  <si>
    <t>normální, Pražák</t>
  </si>
  <si>
    <t>Vypadá sympaticky, ale vůbec nevím, kdo to je</t>
  </si>
  <si>
    <t xml:space="preserve">Vůbec neznám </t>
  </si>
  <si>
    <t>Dobra nalada vzdy a vsude</t>
  </si>
  <si>
    <t>Básnićkàř,rozhodně ne zpěvák</t>
  </si>
  <si>
    <t>Nafoukaný arogantní,zpívat neumí</t>
  </si>
  <si>
    <t>Nevím nesledují ho</t>
  </si>
  <si>
    <t xml:space="preserve">Asi se mi bude snažit něco prodat </t>
  </si>
  <si>
    <t>trochu pochybný</t>
  </si>
  <si>
    <t>Marek Ztracený, zpěvák</t>
  </si>
  <si>
    <t>Milý člověk</t>
  </si>
  <si>
    <t>Nev</t>
  </si>
  <si>
    <t>príjemny</t>
  </si>
  <si>
    <t>pohoda</t>
  </si>
  <si>
    <t>To je nejakej podrazsk ne</t>
  </si>
  <si>
    <t>tuto osobu neznam</t>
  </si>
  <si>
    <t>Asi ok</t>
  </si>
  <si>
    <t>Marek Ztracený miluju jeho tvorbu</t>
  </si>
  <si>
    <t>Neposlouchal ho</t>
  </si>
  <si>
    <t xml:space="preserve">Dávám si pozor </t>
  </si>
  <si>
    <t xml:space="preserve">Super zpěvák </t>
  </si>
  <si>
    <t xml:space="preserve">Skvělý zpěvák </t>
  </si>
  <si>
    <t>sebevědomý muž</t>
  </si>
  <si>
    <t>Hezký úsměv</t>
  </si>
  <si>
    <t>nevím A jaký bych měl mít pocit z obrázku zpěváka</t>
  </si>
  <si>
    <t>Marihuana</t>
  </si>
  <si>
    <t>Super zpěvák který si na nic nehraje</t>
  </si>
  <si>
    <t>Ráda ho poslouchám</t>
  </si>
  <si>
    <t>nemám dobrý pocit</t>
  </si>
  <si>
    <t>nevím, neznám ho</t>
  </si>
  <si>
    <t>dobrý zpěvák</t>
  </si>
  <si>
    <t>docela dobrý</t>
  </si>
  <si>
    <t>Jako kazdy</t>
  </si>
  <si>
    <t xml:space="preserve">Ani nevím, nepůsobí na mě nijak </t>
  </si>
  <si>
    <t xml:space="preserve">Tuctovy </t>
  </si>
  <si>
    <t xml:space="preserve">je to fajn zpěvák </t>
  </si>
  <si>
    <t xml:space="preserve">Namachrovaný tupec </t>
  </si>
  <si>
    <t>Pěkná hudba</t>
  </si>
  <si>
    <t>docela fajn muzika</t>
  </si>
  <si>
    <t>Milý, férivý</t>
  </si>
  <si>
    <t xml:space="preserve">Opět neznám </t>
  </si>
  <si>
    <t xml:space="preserve">Vubec nevim kdo to je </t>
  </si>
  <si>
    <t>nechci ho tu..., neznam</t>
  </si>
  <si>
    <t xml:space="preserve">Nevím kdo to je bohužel </t>
  </si>
  <si>
    <t>slavík</t>
  </si>
  <si>
    <t>ani tak ani tak</t>
  </si>
  <si>
    <t>PĚKNÝ MUŽSKÝ</t>
  </si>
  <si>
    <t>Není muj šálek kavy</t>
  </si>
  <si>
    <t>vynikající</t>
  </si>
  <si>
    <t>Hezký zpívá</t>
  </si>
  <si>
    <t xml:space="preserve">Je mi veľmi sympaticky </t>
  </si>
  <si>
    <t>Marek Ztracený je dobry</t>
  </si>
  <si>
    <t>Neposlouchám ho</t>
  </si>
  <si>
    <t>Ani tak, ani onak</t>
  </si>
  <si>
    <t>A znáte **Marka Ztraceného** alespoň podle jména?</t>
  </si>
  <si>
    <t>Ukážeme vám **slogan** a jednu otázku k němu. Připraven/a?</t>
  </si>
  <si>
    <t>JDEME NA TO</t>
  </si>
  <si>
    <t>No, nic moc</t>
  </si>
  <si>
    <t xml:space="preserve">Líbí se mi ale hned mi k němu vyskočilo v hlavě co jsem měl dnes k obědu </t>
  </si>
  <si>
    <t>proč?</t>
  </si>
  <si>
    <t xml:space="preserve">Nic nového pod sluncem </t>
  </si>
  <si>
    <t xml:space="preserve">nic moc
</t>
  </si>
  <si>
    <t xml:space="preserve"> normálně jí slogan</t>
  </si>
  <si>
    <t>koukám</t>
  </si>
  <si>
    <t>já taky</t>
  </si>
  <si>
    <t>nic extra</t>
  </si>
  <si>
    <t xml:space="preserve">Nemám ráda obecnou češtinu. </t>
  </si>
  <si>
    <t xml:space="preserve">Protože koukám </t>
  </si>
  <si>
    <t>Hmm</t>
  </si>
  <si>
    <t>A dál?</t>
  </si>
  <si>
    <t>na co?</t>
  </si>
  <si>
    <t>kratkej</t>
  </si>
  <si>
    <t>žadný pocit</t>
  </si>
  <si>
    <t>blbost</t>
  </si>
  <si>
    <t>Neslyšel jsem ho</t>
  </si>
  <si>
    <t xml:space="preserve">Nezajímavé </t>
  </si>
  <si>
    <t>ZYdnyz</t>
  </si>
  <si>
    <t xml:space="preserve">Vtipné </t>
  </si>
  <si>
    <t>Zajimave</t>
  </si>
  <si>
    <t xml:space="preserve">Líbí se mi </t>
  </si>
  <si>
    <t>Očekávání</t>
  </si>
  <si>
    <t>No to koukám teda</t>
  </si>
  <si>
    <t>supr</t>
  </si>
  <si>
    <t>Na co?</t>
  </si>
  <si>
    <t xml:space="preserve">dobrý </t>
  </si>
  <si>
    <t>nijaký, nevím na co koukám</t>
  </si>
  <si>
    <t>Běžně používaný slogan</t>
  </si>
  <si>
    <t>what</t>
  </si>
  <si>
    <t>Nevim na co koukam</t>
  </si>
  <si>
    <t xml:space="preserve">Hezké a jednoduché </t>
  </si>
  <si>
    <t>Nwm</t>
  </si>
  <si>
    <t>Překvapení?</t>
  </si>
  <si>
    <t xml:space="preserve">žádný </t>
  </si>
  <si>
    <t>nenadchne,neurazí</t>
  </si>
  <si>
    <t xml:space="preserve">Trapný </t>
  </si>
  <si>
    <t>e? a na co</t>
  </si>
  <si>
    <t>údiv</t>
  </si>
  <si>
    <t>tak normál</t>
  </si>
  <si>
    <t xml:space="preserve">To je slogan?
</t>
  </si>
  <si>
    <t>nepříjemný</t>
  </si>
  <si>
    <t xml:space="preserve">Poutavé </t>
  </si>
  <si>
    <t>Arogantni</t>
  </si>
  <si>
    <t>Pobízivé</t>
  </si>
  <si>
    <t>Vhodný</t>
  </si>
  <si>
    <t>To koukam</t>
  </si>
  <si>
    <t>Neznám souvislosti</t>
  </si>
  <si>
    <t xml:space="preserve">Chytlavý </t>
  </si>
  <si>
    <t>nenadchne, neurazí</t>
  </si>
  <si>
    <t>To koukám!</t>
  </si>
  <si>
    <t>Nic moc. Trochu šroubované, povýšenecké. Těžko říct. Chybí kontext</t>
  </si>
  <si>
    <t xml:space="preserve">To koukám </t>
  </si>
  <si>
    <t>Nechytlavý</t>
  </si>
  <si>
    <t xml:space="preserve">Co já všechno dovedu. </t>
  </si>
  <si>
    <t>Koukam</t>
  </si>
  <si>
    <t>takovej z ulice, jednoduchý, priamočiary</t>
  </si>
  <si>
    <t>Nicnerikajici</t>
  </si>
  <si>
    <t>jeden z mnoha</t>
  </si>
  <si>
    <t xml:space="preserve">Zvědavost </t>
  </si>
  <si>
    <t>nevím na co koukáme</t>
  </si>
  <si>
    <t xml:space="preserve">Pěkný </t>
  </si>
  <si>
    <t xml:space="preserve">Nic mně to neříká </t>
  </si>
  <si>
    <t>Obyčejný</t>
  </si>
  <si>
    <t>Normal</t>
  </si>
  <si>
    <t>zatím neutrální, není na co</t>
  </si>
  <si>
    <t xml:space="preserve">Nabízí něco neobvyklého </t>
  </si>
  <si>
    <t xml:space="preserve">Výstižně </t>
  </si>
  <si>
    <t xml:space="preserve">Šlitrova píseň </t>
  </si>
  <si>
    <t>nic neříkající</t>
  </si>
  <si>
    <t>nedokážu si k ničemu přirovnat</t>
  </si>
  <si>
    <t xml:space="preserve">Nic mě nenapadá </t>
  </si>
  <si>
    <t>normal, nevidím kontext</t>
  </si>
  <si>
    <t>je to otřelý slogan</t>
  </si>
  <si>
    <t>Co sem měl dnes k obedu</t>
  </si>
  <si>
    <t>No nevím  na co 😁</t>
  </si>
  <si>
    <t>Potrebuju kontext</t>
  </si>
  <si>
    <t>wtf</t>
  </si>
  <si>
    <t>koukám no</t>
  </si>
  <si>
    <t>ja se divam, nekoukam</t>
  </si>
  <si>
    <t>Nechápu ho</t>
  </si>
  <si>
    <t>rozporuplný</t>
  </si>
  <si>
    <t xml:space="preserve">Nic originálního </t>
  </si>
  <si>
    <t>Chytlave</t>
  </si>
  <si>
    <t>protože to koukáme</t>
  </si>
  <si>
    <t>V pohodě</t>
  </si>
  <si>
    <t>píseň - to koukáte co jsem měl dnes k obědu</t>
  </si>
  <si>
    <t>no nevím co si představit</t>
  </si>
  <si>
    <t>nekoukám</t>
  </si>
  <si>
    <t xml:space="preserve">Jednoduchý, bude se dobře pamatovat </t>
  </si>
  <si>
    <t>smích</t>
  </si>
  <si>
    <t>Kratky a vystizny</t>
  </si>
  <si>
    <t>nelíbí se mi, trochu agresivní</t>
  </si>
  <si>
    <t xml:space="preserve">bez kontextu k ničemu. </t>
  </si>
  <si>
    <t>Nechápu</t>
  </si>
  <si>
    <t>Blbost</t>
  </si>
  <si>
    <t>Nenadchne a neurazi</t>
  </si>
  <si>
    <t xml:space="preserve">Koukám </t>
  </si>
  <si>
    <t xml:space="preserve">Jedna z mnohých, nič konkrétne </t>
  </si>
  <si>
    <t>co jsem měl dnes k obědu....</t>
  </si>
  <si>
    <t>to koukám hahaha</t>
  </si>
  <si>
    <t>Koukám no</t>
  </si>
  <si>
    <t>Nekoukáme</t>
  </si>
  <si>
    <t>suchý šlitr</t>
  </si>
  <si>
    <t>to koukám teda</t>
  </si>
  <si>
    <t>prostě slogan</t>
  </si>
  <si>
    <t>Vytahovačný</t>
  </si>
  <si>
    <t xml:space="preserve">Budí ve mě zvědavost </t>
  </si>
  <si>
    <t>působí trochu moc "namyšleně"</t>
  </si>
  <si>
    <t>Taky bych letěl</t>
  </si>
  <si>
    <t>chybí na co</t>
  </si>
  <si>
    <t>to koukám</t>
  </si>
  <si>
    <t>Noc moc objevného</t>
  </si>
  <si>
    <t>Koukám</t>
  </si>
  <si>
    <t>Nic to nevyvo</t>
  </si>
  <si>
    <t>Koukám na vše kolem sebe</t>
  </si>
  <si>
    <t>Vzpomenu si na písničku "to koukáte , co jsem měl dnes k obědu"</t>
  </si>
  <si>
    <t xml:space="preserve">Bez kontextu nedává moc smysl. </t>
  </si>
  <si>
    <t>to teda koukám nic moc</t>
  </si>
  <si>
    <t>Nemastným, neslaný, obyčejný slogan</t>
  </si>
  <si>
    <t>Neví o co jde</t>
  </si>
  <si>
    <t>valím oči</t>
  </si>
  <si>
    <t>Přidrzlý.</t>
  </si>
  <si>
    <t xml:space="preserve">To koukám no </t>
  </si>
  <si>
    <t xml:space="preserve">Nekoukám </t>
  </si>
  <si>
    <t xml:space="preserve">Zatím to vypadá na humor záleží co za tím stojí </t>
  </si>
  <si>
    <t>to koukám... na co to je slogan?</t>
  </si>
  <si>
    <t>Je dobry</t>
  </si>
  <si>
    <t>A na co?</t>
  </si>
  <si>
    <t>Koukáte na co?</t>
  </si>
  <si>
    <t xml:space="preserve">Nevím na co? </t>
  </si>
  <si>
    <t>o.k.</t>
  </si>
  <si>
    <t>to teda hledim</t>
  </si>
  <si>
    <t>Asi mě zajímá na co</t>
  </si>
  <si>
    <t>Je to kratke</t>
  </si>
  <si>
    <t>Na co</t>
  </si>
  <si>
    <t>Mic</t>
  </si>
  <si>
    <t>Kratky</t>
  </si>
  <si>
    <t>Nvm</t>
  </si>
  <si>
    <t xml:space="preserve">Žádný pocit z toho nemám </t>
  </si>
  <si>
    <t>Záleží k čemu se dá ten slogan</t>
  </si>
  <si>
    <t>na to máme oči ;)</t>
  </si>
  <si>
    <t>Lacine</t>
  </si>
  <si>
    <t>Nevím na co je to slogan, nic mi to neříká. Nevím kam to míří a na co.</t>
  </si>
  <si>
    <t>běžný slogan</t>
  </si>
  <si>
    <t xml:space="preserve">Jednoduchost </t>
  </si>
  <si>
    <t>Na co ?</t>
  </si>
  <si>
    <t>nevím na co</t>
  </si>
  <si>
    <t>už jsem to několikraát slyšel, ale teĎ nevím kde</t>
  </si>
  <si>
    <t>nic to se mnou nedela</t>
  </si>
  <si>
    <t>Asi dobrý.</t>
  </si>
  <si>
    <t>Nevím, na co koukàme</t>
  </si>
  <si>
    <t xml:space="preserve">Nudný </t>
  </si>
  <si>
    <t xml:space="preserve">Divne </t>
  </si>
  <si>
    <t>bez kontextu nesmysl</t>
  </si>
  <si>
    <t>ano</t>
  </si>
  <si>
    <t>Nijaky</t>
  </si>
  <si>
    <t>Může se to hodit jako slogan</t>
  </si>
  <si>
    <t>milý</t>
  </si>
  <si>
    <t xml:space="preserve">Pocit překvapení </t>
  </si>
  <si>
    <t xml:space="preserve">Infantilní </t>
  </si>
  <si>
    <t>Čekám co uvidkm</t>
  </si>
  <si>
    <t>neurazí nenadchne</t>
  </si>
  <si>
    <t>v podstatě nic moc</t>
  </si>
  <si>
    <t>Nadhodnocenost</t>
  </si>
  <si>
    <t>takový normální</t>
  </si>
  <si>
    <t>Takový nic neříkající</t>
  </si>
  <si>
    <t xml:space="preserve">je to známé
</t>
  </si>
  <si>
    <t xml:space="preserve">Nechápu </t>
  </si>
  <si>
    <t xml:space="preserve">No koukám že žádný </t>
  </si>
  <si>
    <t>Jsem fakt koukala</t>
  </si>
  <si>
    <t>Koukám no, díky Bohu!</t>
  </si>
  <si>
    <t xml:space="preserve">Přijde mi to takové ohrané a neoriginální </t>
  </si>
  <si>
    <t>Co jsem mel dnes k obedu</t>
  </si>
  <si>
    <t>Žádný,koukám pořád</t>
  </si>
  <si>
    <t>mírně vulgární</t>
  </si>
  <si>
    <t>Nemastný, neslaný.</t>
  </si>
  <si>
    <t>Moc kratky</t>
  </si>
  <si>
    <t>Legrační</t>
  </si>
  <si>
    <t>na co koukám</t>
  </si>
  <si>
    <t>nicneříkající</t>
  </si>
  <si>
    <t xml:space="preserve">Nic zajímavého </t>
  </si>
  <si>
    <t>no nic moc</t>
  </si>
  <si>
    <t>nevím co k němu patří</t>
  </si>
  <si>
    <t>negativni</t>
  </si>
  <si>
    <t xml:space="preserve">Nic mi neříká </t>
  </si>
  <si>
    <t>no čumím, no</t>
  </si>
  <si>
    <t>kokám</t>
  </si>
  <si>
    <t>Normalni</t>
  </si>
  <si>
    <t>S ničím se mi to nespojuje</t>
  </si>
  <si>
    <t>ujde to</t>
  </si>
  <si>
    <t xml:space="preserve">Nic zvláštního </t>
  </si>
  <si>
    <t>Pro mladší.</t>
  </si>
  <si>
    <t>příliš jednoduchý</t>
  </si>
  <si>
    <t>já se dívám</t>
  </si>
  <si>
    <t>nekdo se nekomu vysmiva...</t>
  </si>
  <si>
    <t>Žádný, obyčejný, ohrany</t>
  </si>
  <si>
    <t>nekoukám , dívám se</t>
  </si>
  <si>
    <t>Dobrý,vtipný</t>
  </si>
  <si>
    <t>asi záleží na kontextu</t>
  </si>
  <si>
    <t>Nic mi to nerika</t>
  </si>
  <si>
    <t xml:space="preserve">Co dnes bude k obědu </t>
  </si>
  <si>
    <t>DOBRÝ</t>
  </si>
  <si>
    <t>V pohode</t>
  </si>
  <si>
    <t>Zaujme</t>
  </si>
  <si>
    <t>divny</t>
  </si>
  <si>
    <t xml:space="preserve">Překvapení </t>
  </si>
  <si>
    <t>zadny</t>
  </si>
  <si>
    <t>je to známé</t>
  </si>
  <si>
    <t>Obyč</t>
  </si>
  <si>
    <t>Familiární</t>
  </si>
  <si>
    <t>Zlepšený výkon</t>
  </si>
  <si>
    <t xml:space="preserve">Historie </t>
  </si>
  <si>
    <t xml:space="preserve">Neurazí </t>
  </si>
  <si>
    <t>koukam</t>
  </si>
  <si>
    <t>známé</t>
  </si>
  <si>
    <t xml:space="preserve">Normál </t>
  </si>
  <si>
    <t>koukám co z toho vypadne</t>
  </si>
  <si>
    <t>To koukám...</t>
  </si>
  <si>
    <t>libi se my</t>
  </si>
  <si>
    <t xml:space="preserve">Špatný </t>
  </si>
  <si>
    <t>dětinský</t>
  </si>
  <si>
    <t xml:space="preserve">Nerozumím sloganu, nevím s čím má spojitost </t>
  </si>
  <si>
    <t>Nekoukam</t>
  </si>
  <si>
    <t>Nic nerikajici</t>
  </si>
  <si>
    <t xml:space="preserve">Druh </t>
  </si>
  <si>
    <t>Vybavi se mi Suchy,Slitr..co jsem mel dnes k obedu 🤣</t>
  </si>
  <si>
    <t xml:space="preserve">Píčoviny </t>
  </si>
  <si>
    <t>Nic moc nerika</t>
  </si>
  <si>
    <t>CO JSEM MĚL DNES K OBĚDU</t>
  </si>
  <si>
    <t>...co jsem měl dnes k obědu</t>
  </si>
  <si>
    <t xml:space="preserve">Vůbec žádný </t>
  </si>
  <si>
    <t>Koukáme na něco zajímavého</t>
  </si>
  <si>
    <t>nevím, co si představit</t>
  </si>
  <si>
    <t>Nevím, o co jde</t>
  </si>
  <si>
    <t>Co jsem měl dnes k obědu... NE</t>
  </si>
  <si>
    <t>Staré</t>
  </si>
  <si>
    <t>Přijde mi obyčejný</t>
  </si>
  <si>
    <t xml:space="preserve">To koukáme </t>
  </si>
  <si>
    <t>Hezký</t>
  </si>
  <si>
    <t>nekoukám...</t>
  </si>
  <si>
    <t>není njasné o co jde</t>
  </si>
  <si>
    <t>Nic mi to nepřipominá</t>
  </si>
  <si>
    <t>Žádný.</t>
  </si>
  <si>
    <t>A co jako ?</t>
  </si>
  <si>
    <t>úderné</t>
  </si>
  <si>
    <t>zajímavý</t>
  </si>
  <si>
    <t>Filmová, hudební hláška</t>
  </si>
  <si>
    <t>připomíná mi to refrém jedné písničky</t>
  </si>
  <si>
    <t>To neni slogan</t>
  </si>
  <si>
    <t>Známé zavedené a používané souslovi</t>
  </si>
  <si>
    <t>Hezke</t>
  </si>
  <si>
    <t>písnička</t>
  </si>
  <si>
    <t>Pekne</t>
  </si>
  <si>
    <t>divné</t>
  </si>
  <si>
    <t>To mobile</t>
  </si>
  <si>
    <t xml:space="preserve">Paráda </t>
  </si>
  <si>
    <t>nic mi to nerika</t>
  </si>
  <si>
    <t>věcný</t>
  </si>
  <si>
    <t>Hledím</t>
  </si>
  <si>
    <t xml:space="preserve">To je staré - co jsem měl dnes k obědu </t>
  </si>
  <si>
    <t>To je slogan??</t>
  </si>
  <si>
    <t>Nijak zajímavý slogan</t>
  </si>
  <si>
    <t>JEDEN Z MNOHA</t>
  </si>
  <si>
    <t>Záleží na co.</t>
  </si>
  <si>
    <t>To mi připomíná herce Suchý</t>
  </si>
  <si>
    <t>koukají čecháčcí</t>
  </si>
  <si>
    <t>To koukáte, co já všechno dovedu</t>
  </si>
  <si>
    <t xml:space="preserve">Nevím, v jaké souvislosti </t>
  </si>
  <si>
    <t>nevím, o co jde</t>
  </si>
  <si>
    <t>Stare</t>
  </si>
  <si>
    <t>Žádný pocit</t>
  </si>
  <si>
    <t>obyčejný</t>
  </si>
  <si>
    <t>A o čem že to je</t>
  </si>
  <si>
    <t>Co si o tom mám myslet ?</t>
  </si>
  <si>
    <t xml:space="preserve">Nicneříkající </t>
  </si>
  <si>
    <t xml:space="preserve">Co jsem měl dnes k obědu </t>
  </si>
  <si>
    <t>Hloupe</t>
  </si>
  <si>
    <t xml:space="preserve">
?</t>
  </si>
  <si>
    <t>co sem měl dnes k oooběěduuu</t>
  </si>
  <si>
    <t xml:space="preserve">Nic nevidím </t>
  </si>
  <si>
    <t>jak tele</t>
  </si>
  <si>
    <t>Pekny</t>
  </si>
  <si>
    <t>Tím chtěl říct autor co? Ta bezobsažná slova teď nějak zaplavují reklamní  prostor.,</t>
  </si>
  <si>
    <t>No, to koukám... Kontext?</t>
  </si>
  <si>
    <t>Takhle samo o sobě to hodně silné tvrzení, že mě vůbec zaujmou.</t>
  </si>
  <si>
    <t>Písnička Jiřího Suchého (... co jsem měl dnes k obědu)</t>
  </si>
  <si>
    <t>Zvedavost</t>
  </si>
  <si>
    <t>Nic mi to neříká</t>
  </si>
  <si>
    <t>fikce</t>
  </si>
  <si>
    <t>co jsem měl dnes k obědu</t>
  </si>
  <si>
    <t>no to tedy koukám :-)</t>
  </si>
  <si>
    <t>Koukám... Moc mu, bez dalšího kontextu, nerozumím.</t>
  </si>
  <si>
    <t>Lidový</t>
  </si>
  <si>
    <t>Bez souvislosti moc nevim, co si myslet</t>
  </si>
  <si>
    <t>ukazka</t>
  </si>
  <si>
    <t>Pokud to neni slogan nejake televize, tak mi to prijde hloupe</t>
  </si>
  <si>
    <t>Moc obycejny</t>
  </si>
  <si>
    <t>To teda koukam</t>
  </si>
  <si>
    <t>Zajímavé</t>
  </si>
  <si>
    <t>Jaký z toho bych měl mýt pocit?</t>
  </si>
  <si>
    <t xml:space="preserve">Nic neříká </t>
  </si>
  <si>
    <t>nic neříká</t>
  </si>
  <si>
    <t>záleží na asociaci</t>
  </si>
  <si>
    <t>Kizkám</t>
  </si>
  <si>
    <t>tak to tedy nevím To teda koukám</t>
  </si>
  <si>
    <t>Joo</t>
  </si>
  <si>
    <t xml:space="preserve">Očekávání </t>
  </si>
  <si>
    <t>Obyčejné</t>
  </si>
  <si>
    <t xml:space="preserve">Přijde mi vtipný </t>
  </si>
  <si>
    <t>zvědavost</t>
  </si>
  <si>
    <t>tak čumim</t>
  </si>
  <si>
    <t>je zajímavý</t>
  </si>
  <si>
    <t xml:space="preserve">Milé </t>
  </si>
  <si>
    <t>to čumim</t>
  </si>
  <si>
    <t xml:space="preserve">Jako na co. Koukáme? Působí vychloubačně </t>
  </si>
  <si>
    <t xml:space="preserve">Běžný výraz </t>
  </si>
  <si>
    <t>no neuchvátil mě</t>
  </si>
  <si>
    <t xml:space="preserve">Nic zásadního </t>
  </si>
  <si>
    <t>hezký</t>
  </si>
  <si>
    <t xml:space="preserve">Drzé </t>
  </si>
  <si>
    <t>Asi je něco vidět</t>
  </si>
  <si>
    <t>arogance</t>
  </si>
  <si>
    <t xml:space="preserve">Dobrý, zaujme </t>
  </si>
  <si>
    <t xml:space="preserve">Spis si to spojuji s písničkou </t>
  </si>
  <si>
    <t>hezky slogan</t>
  </si>
  <si>
    <t>POUŽÍVÁM</t>
  </si>
  <si>
    <t>Nic zajimaveho</t>
  </si>
  <si>
    <t>Jednoduchý a výstižný</t>
  </si>
  <si>
    <t>Nějak mi to nesedí</t>
  </si>
  <si>
    <t>Dobrý je</t>
  </si>
  <si>
    <t>Na závěr nás zajímá, jaké značky vám sedí k osobnostem. Připraven/a?</t>
  </si>
  <si>
    <t>Ke které značce tato osobnost patří?</t>
  </si>
  <si>
    <t>PeckaTV</t>
  </si>
  <si>
    <t>Skylink</t>
  </si>
  <si>
    <t>MagentaTV</t>
  </si>
  <si>
    <t>LepšíTV</t>
  </si>
  <si>
    <t>Napadá mě jiná značka</t>
  </si>
  <si>
    <t>A jdeme do finále.</t>
  </si>
  <si>
    <t>HURÁ!</t>
  </si>
  <si>
    <t>Co pro vás platí?</t>
  </si>
  <si>
    <t>Jsem uživatel/ka placené TV služby (online televize, streamovací platforma, VOD).</t>
  </si>
  <si>
    <t>Koupil/a jsem v posledním roce kolo.</t>
  </si>
  <si>
    <t>Denně strávím na telefonu více než 3 hodiny.</t>
  </si>
  <si>
    <t>Nekoupil/a jsem v posledním roce kolo.</t>
  </si>
  <si>
    <t>**Znal/a** jste některou z těchto značek už **před tímto dotazníkem?**</t>
  </si>
  <si>
    <t>telly</t>
  </si>
  <si>
    <t>pecka</t>
  </si>
  <si>
    <t>sky</t>
  </si>
  <si>
    <t>magenta</t>
  </si>
  <si>
    <t>lepsi</t>
  </si>
  <si>
    <t>**Sledoval/a** jste **v posledním roce** nějaké pořady přes některou z těchto značek?</t>
  </si>
  <si>
    <t>age-65_plus</t>
  </si>
  <si>
    <t>city_size-0_2</t>
  </si>
  <si>
    <t>city_size-10_50</t>
  </si>
  <si>
    <t>city_size-2_10</t>
  </si>
  <si>
    <t>city_size-over50</t>
  </si>
  <si>
    <t>ea-fulltime</t>
  </si>
  <si>
    <t>ea-maternity_leave</t>
  </si>
  <si>
    <t>ea-pensioner</t>
  </si>
  <si>
    <t>ea-student</t>
  </si>
  <si>
    <t>ea-unemployed</t>
  </si>
  <si>
    <t>education_level-basic</t>
  </si>
  <si>
    <t>education_level-high_bezmat</t>
  </si>
  <si>
    <t>education_level-high_smat</t>
  </si>
  <si>
    <t>education_level-university</t>
  </si>
  <si>
    <t>elected_2021-ano_2011</t>
  </si>
  <si>
    <t>elected_2021-no</t>
  </si>
  <si>
    <t>elected_2021-pirstan</t>
  </si>
  <si>
    <t>elected_2021-spd</t>
  </si>
  <si>
    <t>elected_2021-spolu</t>
  </si>
  <si>
    <t>elected_2025-ano_2011</t>
  </si>
  <si>
    <t>elected_2025-motoriste</t>
  </si>
  <si>
    <t>elected_2025-no</t>
  </si>
  <si>
    <t>elected_2025-pirati</t>
  </si>
  <si>
    <t>elected_2025-spd</t>
  </si>
  <si>
    <t>elected_2025-spolu</t>
  </si>
  <si>
    <t>elected_2025-stan</t>
  </si>
  <si>
    <t>income_level-high</t>
  </si>
  <si>
    <t>income_level-low</t>
  </si>
  <si>
    <t>income_level-mid</t>
  </si>
  <si>
    <t>kraj-hlavni</t>
  </si>
  <si>
    <t>kraj-jihocesky</t>
  </si>
  <si>
    <t>kraj-jihomoravsky</t>
  </si>
  <si>
    <t>kraj-karlovarsky</t>
  </si>
  <si>
    <t>kraj-kralovehradecky</t>
  </si>
  <si>
    <t>kraj-liberecky</t>
  </si>
  <si>
    <t>kraj-moravskoslezsky</t>
  </si>
  <si>
    <t>kraj-olomoucky</t>
  </si>
  <si>
    <t>kraj-pardubicky</t>
  </si>
  <si>
    <t>kraj-plzensky</t>
  </si>
  <si>
    <t>kraj-stredocesky</t>
  </si>
  <si>
    <t>kraj-ustecky</t>
  </si>
  <si>
    <t>kraj-vysocina</t>
  </si>
  <si>
    <t>kraj-zlinsky</t>
  </si>
  <si>
    <t>sex-man</t>
  </si>
  <si>
    <t>sex-woman</t>
  </si>
  <si>
    <t>Labels</t>
  </si>
  <si>
    <t>Frekvenční tabulky</t>
  </si>
  <si>
    <t>Vítejte ve frekvenčních tabulkách! Tyto tabulky jsou nejdetailnějším výstupem z výzkumu. Naleznete v nich každou jednu otázku i odpověď, která v dotazníku byla. Současně uvidíte také kompletní výsledky za jednotlivé podskupiny.
Jednotlivé otázky jsou řazeny pod sebou a ve stejném pořadí, jak je respondenti vyplňovali. V případě otevřených otázek je do znění otázky vložen proklik, který vás přesune na list s verbatimy (přesným zněním odpovědí).
Níže naleznete návod, jak výsledky v tabulkách správně číst.</t>
  </si>
  <si>
    <t>Celková populace 
(kvóta)</t>
  </si>
  <si>
    <t>Lidé, co žijí na vesnici</t>
  </si>
  <si>
    <t>Kde bydlíte?</t>
  </si>
  <si>
    <t>v bytě</t>
  </si>
  <si>
    <t>v rodinném domě</t>
  </si>
  <si>
    <t>na ubytovně</t>
  </si>
  <si>
    <t>na koleji</t>
  </si>
  <si>
    <t>jinde</t>
  </si>
  <si>
    <t>Byt máte?</t>
  </si>
  <si>
    <t>pronajatý</t>
  </si>
  <si>
    <t>svůj vlastní (nebo mé rodiny)</t>
  </si>
  <si>
    <t>BRAND AWARENESS</t>
  </si>
  <si>
    <t>skip/none</t>
  </si>
  <si>
    <t>SUMA</t>
  </si>
  <si>
    <t>CATEGROY BUYERS (N472) - Uživatelé placených TV služeb</t>
  </si>
  <si>
    <t>REPREZ. VZOREK 18+ (N1000)</t>
  </si>
  <si>
    <t>Isteník</t>
  </si>
  <si>
    <t>Slogan "To koukáte"</t>
  </si>
  <si>
    <t>Telly (Čech O2)</t>
  </si>
  <si>
    <t>SPOJENÍ SE ZNAČKOU (známost, jedinečnost)</t>
  </si>
  <si>
    <t>Spontánně</t>
  </si>
  <si>
    <t>Podpořeně</t>
  </si>
  <si>
    <t>EMOCE</t>
  </si>
  <si>
    <t>ASOCIACE</t>
  </si>
  <si>
    <t>OSOBNOSTI</t>
  </si>
  <si>
    <t>BRAND BUYERS (last year)</t>
  </si>
  <si>
    <t>Všichni (reprezentativní vzorek online populace ČR 18+)</t>
  </si>
  <si>
    <t>Category buyers:
Uživatelé placených TV služeb (online televize, streamovací platforma, VOD)</t>
  </si>
  <si>
    <t>Znají Telly</t>
  </si>
  <si>
    <t>Znají Isteníka</t>
  </si>
  <si>
    <t>Znají Procházku</t>
  </si>
  <si>
    <t>Znají Ztraceného</t>
  </si>
  <si>
    <t>Znají Čecha</t>
  </si>
  <si>
    <t>Muži</t>
  </si>
  <si>
    <t>Ženy</t>
  </si>
  <si>
    <t>18 až 29 let</t>
  </si>
  <si>
    <t>30 až 44 let</t>
  </si>
  <si>
    <t>45 až 64 let</t>
  </si>
  <si>
    <t>65 let a více</t>
  </si>
  <si>
    <t>Vzdělání bez maturity</t>
  </si>
  <si>
    <t>Vzdělání s maturitou</t>
  </si>
  <si>
    <t>Vysokoškolské vzdělání</t>
  </si>
  <si>
    <t>Nízký příjem</t>
  </si>
  <si>
    <t>Střední příjem</t>
  </si>
  <si>
    <t>Vysoký příjem</t>
  </si>
  <si>
    <t xml:space="preserve">Obec do 2 tis. </t>
  </si>
  <si>
    <t>Obec od 2 do 10 tis.</t>
  </si>
  <si>
    <t>Obec od 10 do 50 tis.</t>
  </si>
  <si>
    <t>Obec nad 50 tis.</t>
  </si>
  <si>
    <t>CB, kteří znají Isteníka</t>
  </si>
  <si>
    <t>CATEGORY BUYERS:
Uživatelé placených TV služeb (online televize, streamovací platforma, VOD)</t>
  </si>
  <si>
    <t>CB, kteří znají Procházku</t>
  </si>
  <si>
    <t>CB, kteří znají Ztraceného</t>
  </si>
  <si>
    <t>CB, kteří znají Čecha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</si>
</sst>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67E2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6600"/>
        <bgColor rgb="FFFF6600"/>
      </patternFill>
    </fill>
    <fill>
      <patternFill patternType="solid">
        <fgColor rgb="FFA9D18E"/>
        <bgColor rgb="FFA9D18E"/>
      </patternFill>
    </fill>
    <fill>
      <patternFill patternType="solid">
        <fgColor rgb="FFE67E22"/>
        <bgColor rgb="FFE67E22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9" fontId="0" fillId="0" borderId="0" xfId="0" applyNumberFormat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3" fillId="3" borderId="0" xfId="0" applyFont="1" applyFill="1"/>
    <xf numFmtId="9" fontId="0" fillId="3" borderId="0" xfId="0" applyNumberFormat="1" applyFill="1"/>
    <xf numFmtId="9" fontId="0" fillId="5" borderId="0" xfId="0" applyNumberFormat="1" applyFill="1"/>
    <xf numFmtId="0" fontId="4" fillId="0" borderId="0" xfId="0" applyFont="1"/>
    <xf numFmtId="0" fontId="2" fillId="0" borderId="0" xfId="0" applyFont="1"/>
    <xf numFmtId="0" fontId="0" fillId="0" borderId="0" xfId="0"/>
    <xf numFmtId="0" fontId="7" fillId="6" borderId="0" xfId="2" applyFont="1" applyFill="1"/>
    <xf numFmtId="0" fontId="8" fillId="6" borderId="0" xfId="2" applyFont="1" applyFill="1"/>
    <xf numFmtId="0" fontId="8" fillId="6" borderId="0" xfId="2" applyFont="1" applyFill="1" applyAlignment="1">
      <alignment horizontal="right"/>
    </xf>
    <xf numFmtId="0" fontId="5" fillId="0" borderId="0" xfId="2"/>
    <xf numFmtId="0" fontId="8" fillId="6" borderId="0" xfId="2" applyFont="1" applyFill="1" applyAlignment="1">
      <alignment horizontal="left" vertical="top" wrapText="1"/>
    </xf>
    <xf numFmtId="0" fontId="9" fillId="0" borderId="0" xfId="2" applyFont="1"/>
    <xf numFmtId="0" fontId="8" fillId="6" borderId="0" xfId="2" applyFont="1" applyFill="1" applyAlignment="1">
      <alignment vertical="center" wrapText="1"/>
    </xf>
    <xf numFmtId="0" fontId="10" fillId="7" borderId="0" xfId="2" applyFont="1" applyFill="1" applyAlignment="1">
      <alignment horizontal="center" vertical="center" wrapText="1"/>
    </xf>
    <xf numFmtId="0" fontId="10" fillId="7" borderId="0" xfId="2" applyFont="1" applyFill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right"/>
    </xf>
    <xf numFmtId="0" fontId="10" fillId="0" borderId="0" xfId="2" applyFont="1" applyAlignment="1">
      <alignment horizontal="center"/>
    </xf>
    <xf numFmtId="0" fontId="10" fillId="6" borderId="0" xfId="2" applyFont="1" applyFill="1"/>
    <xf numFmtId="0" fontId="10" fillId="8" borderId="0" xfId="2" applyFont="1" applyFill="1"/>
    <xf numFmtId="0" fontId="10" fillId="8" borderId="0" xfId="2" applyFont="1" applyFill="1" applyAlignment="1">
      <alignment horizontal="center"/>
    </xf>
    <xf numFmtId="0" fontId="8" fillId="0" borderId="0" xfId="2" applyFont="1"/>
    <xf numFmtId="9" fontId="8" fillId="0" borderId="0" xfId="2" applyNumberFormat="1" applyFont="1"/>
    <xf numFmtId="9" fontId="8" fillId="9" borderId="0" xfId="2" applyNumberFormat="1" applyFont="1" applyFill="1"/>
    <xf numFmtId="0" fontId="11" fillId="6" borderId="0" xfId="2" applyFont="1" applyFill="1"/>
    <xf numFmtId="9" fontId="8" fillId="8" borderId="0" xfId="2" applyNumberFormat="1" applyFont="1" applyFill="1"/>
    <xf numFmtId="0" fontId="10" fillId="10" borderId="0" xfId="2" applyFont="1" applyFill="1" applyAlignment="1">
      <alignment horizontal="right"/>
    </xf>
    <xf numFmtId="0" fontId="10" fillId="10" borderId="0" xfId="2" applyFont="1" applyFill="1"/>
    <xf numFmtId="0" fontId="6" fillId="0" borderId="0" xfId="0" applyFont="1"/>
    <xf numFmtId="9" fontId="0" fillId="0" borderId="0" xfId="1" applyFont="1"/>
    <xf numFmtId="9" fontId="0" fillId="0" borderId="0" xfId="1" applyFont="1" applyBorder="1"/>
    <xf numFmtId="0" fontId="0" fillId="11" borderId="0" xfId="0" applyFill="1"/>
    <xf numFmtId="0" fontId="6" fillId="11" borderId="0" xfId="0" applyFont="1" applyFill="1"/>
    <xf numFmtId="0" fontId="0" fillId="0" borderId="1" xfId="0" applyBorder="1"/>
    <xf numFmtId="9" fontId="0" fillId="0" borderId="1" xfId="1" applyFont="1" applyBorder="1"/>
    <xf numFmtId="9" fontId="0" fillId="0" borderId="3" xfId="1" applyFont="1" applyBorder="1"/>
    <xf numFmtId="9" fontId="0" fillId="0" borderId="2" xfId="1" applyFont="1" applyBorder="1"/>
    <xf numFmtId="0" fontId="0" fillId="0" borderId="0" xfId="0" applyBorder="1"/>
    <xf numFmtId="0" fontId="0" fillId="0" borderId="0" xfId="0" applyFill="1"/>
    <xf numFmtId="0" fontId="6" fillId="0" borderId="0" xfId="0" applyFont="1" applyFill="1"/>
    <xf numFmtId="0" fontId="12" fillId="0" borderId="0" xfId="0" applyFont="1"/>
    <xf numFmtId="0" fontId="13" fillId="11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7" borderId="0" xfId="0" applyFont="1" applyFill="1" applyAlignment="1">
      <alignment horizontal="center" vertical="center" wrapText="1"/>
    </xf>
    <xf numFmtId="0" fontId="9" fillId="0" borderId="0" xfId="0" applyFont="1"/>
  </cellXfs>
  <cellStyles count="3">
    <cellStyle name="Normální" xfId="0" builtinId="0"/>
    <cellStyle name="Normální 2" xfId="2" xr:uid="{FC8AADD0-F0D9-465C-B66C-2F147793F9EF}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142875</xdr:colOff>
      <xdr:row>3</xdr:row>
      <xdr:rowOff>38100</xdr:rowOff>
    </xdr:from>
    <xdr:ext cx="3905250" cy="8286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004C9BD-B1CE-426C-A779-2C7BE68BF33D}"/>
            </a:ext>
          </a:extLst>
        </xdr:cNvPr>
        <xdr:cNvSpPr/>
      </xdr:nvSpPr>
      <xdr:spPr>
        <a:xfrm>
          <a:off x="1971675" y="2238375"/>
          <a:ext cx="3905250" cy="828675"/>
        </a:xfrm>
        <a:prstGeom prst="wedgeRoundRectCallout">
          <a:avLst>
            <a:gd name="adj1" fmla="val 66355"/>
            <a:gd name="adj2" fmla="val 53639"/>
            <a:gd name="adj3" fmla="val 16667"/>
          </a:avLst>
        </a:prstGeom>
        <a:solidFill>
          <a:srgbClr val="FBD4B4"/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 tabulkách jsou vedle sebe umístěna jednotlivá třídění. O jaké třídění se jedná je vždy napsáno nahoře v oranžové buňce. První třídění je obvykle za celkovou populaci.</a:t>
          </a:r>
          <a:endParaRPr sz="1100"/>
        </a:p>
      </xdr:txBody>
    </xdr:sp>
    <xdr:clientData fLocksWithSheet="0"/>
  </xdr:oneCellAnchor>
  <xdr:oneCellAnchor>
    <xdr:from>
      <xdr:col>0</xdr:col>
      <xdr:colOff>247650</xdr:colOff>
      <xdr:row>8</xdr:row>
      <xdr:rowOff>238125</xdr:rowOff>
    </xdr:from>
    <xdr:ext cx="3028950" cy="66675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CFFA93A-1408-46C9-8429-5642156B8876}"/>
            </a:ext>
          </a:extLst>
        </xdr:cNvPr>
        <xdr:cNvSpPr/>
      </xdr:nvSpPr>
      <xdr:spPr>
        <a:xfrm>
          <a:off x="247650" y="3390900"/>
          <a:ext cx="3028950" cy="666750"/>
        </a:xfrm>
        <a:prstGeom prst="wedgeRoundRectCallout">
          <a:avLst>
            <a:gd name="adj1" fmla="val 57438"/>
            <a:gd name="adj2" fmla="val 40981"/>
            <a:gd name="adj3" fmla="val 16667"/>
          </a:avLst>
        </a:prstGeom>
        <a:solidFill>
          <a:srgbClr val="D6E3BC"/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 zeleném řádku je vždy uvedeno znění otázky tak, jak ji respondent viděl v dotazníku.</a:t>
          </a:r>
          <a:endParaRPr sz="1100"/>
        </a:p>
      </xdr:txBody>
    </xdr:sp>
    <xdr:clientData fLocksWithSheet="0"/>
  </xdr:oneCellAnchor>
  <xdr:oneCellAnchor>
    <xdr:from>
      <xdr:col>0</xdr:col>
      <xdr:colOff>247650</xdr:colOff>
      <xdr:row>11</xdr:row>
      <xdr:rowOff>38100</xdr:rowOff>
    </xdr:from>
    <xdr:ext cx="3028950" cy="54292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E63B25A7-C98A-4DB5-8F22-A10231ED6A37}"/>
            </a:ext>
          </a:extLst>
        </xdr:cNvPr>
        <xdr:cNvSpPr/>
      </xdr:nvSpPr>
      <xdr:spPr>
        <a:xfrm>
          <a:off x="247650" y="4105275"/>
          <a:ext cx="3028950" cy="542925"/>
        </a:xfrm>
        <a:prstGeom prst="wedgeRoundRectCallout">
          <a:avLst>
            <a:gd name="adj1" fmla="val 76546"/>
            <a:gd name="adj2" fmla="val -15881"/>
            <a:gd name="adj3" fmla="val 16667"/>
          </a:avLst>
        </a:prstGeom>
        <a:solidFill>
          <a:srgbClr val="F2F2F2"/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Pod zněním otázky jsou uvedeny možnosti odpovědí.</a:t>
          </a:r>
          <a:endParaRPr sz="1100"/>
        </a:p>
      </xdr:txBody>
    </xdr:sp>
    <xdr:clientData fLocksWithSheet="0"/>
  </xdr:oneCellAnchor>
  <xdr:oneCellAnchor>
    <xdr:from>
      <xdr:col>0</xdr:col>
      <xdr:colOff>247650</xdr:colOff>
      <xdr:row>15</xdr:row>
      <xdr:rowOff>0</xdr:rowOff>
    </xdr:from>
    <xdr:ext cx="3028950" cy="1638300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9537F076-3C58-4E6A-BC17-45ADC5854103}"/>
            </a:ext>
          </a:extLst>
        </xdr:cNvPr>
        <xdr:cNvSpPr/>
      </xdr:nvSpPr>
      <xdr:spPr>
        <a:xfrm>
          <a:off x="247650" y="4829175"/>
          <a:ext cx="3028950" cy="1638300"/>
        </a:xfrm>
        <a:prstGeom prst="wedgeRoundRectCallout">
          <a:avLst>
            <a:gd name="adj1" fmla="val 60302"/>
            <a:gd name="adj2" fmla="val -18585"/>
            <a:gd name="adj3" fmla="val 16667"/>
          </a:avLst>
        </a:prstGeom>
        <a:solidFill>
          <a:srgbClr val="FDF1D3"/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Zde je uveden počet respondentů, kteří danou otázku viděli. Tuto otázku viděli všichni.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Otázku níže viděli pouze lidé, co žijí v bytě (byla pod filtrem), proto je u ní počet respondentů jen 878.</a:t>
          </a:r>
          <a:endParaRPr sz="1100"/>
        </a:p>
      </xdr:txBody>
    </xdr:sp>
    <xdr:clientData fLocksWithSheet="0"/>
  </xdr:oneCellAnchor>
  <xdr:oneCellAnchor>
    <xdr:from>
      <xdr:col>5</xdr:col>
      <xdr:colOff>552450</xdr:colOff>
      <xdr:row>27</xdr:row>
      <xdr:rowOff>19050</xdr:rowOff>
    </xdr:from>
    <xdr:ext cx="1790700" cy="2038350"/>
    <xdr:sp macro="" textlink="">
      <xdr:nvSpPr>
        <xdr:cNvPr id="6" name="Shape 7">
          <a:extLst>
            <a:ext uri="{FF2B5EF4-FFF2-40B4-BE49-F238E27FC236}">
              <a16:creationId xmlns:a16="http://schemas.microsoft.com/office/drawing/2014/main" id="{46EEEC99-21CB-46F9-A2DE-85C295D2FF4C}"/>
            </a:ext>
          </a:extLst>
        </xdr:cNvPr>
        <xdr:cNvSpPr/>
      </xdr:nvSpPr>
      <xdr:spPr>
        <a:xfrm>
          <a:off x="3600450" y="7200900"/>
          <a:ext cx="1790700" cy="2038350"/>
        </a:xfrm>
        <a:prstGeom prst="wedgeRoundRectCallout">
          <a:avLst>
            <a:gd name="adj1" fmla="val 69903"/>
            <a:gd name="adj2" fmla="val -107391"/>
            <a:gd name="adj3" fmla="val 16667"/>
          </a:avLst>
        </a:prstGeom>
        <a:solidFill>
          <a:srgbClr val="DAEEF3">
            <a:alpha val="60000"/>
          </a:srgbClr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Modrý sloupec ukazuje absolutní počet. Tedy kolik přesně lidí zvolilo konkrétní odpověď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b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441 lidí ze vzorku žije v pronajatém bytě.</a:t>
          </a:r>
          <a:endParaRPr sz="1100"/>
        </a:p>
      </xdr:txBody>
    </xdr:sp>
    <xdr:clientData fLocksWithSheet="0"/>
  </xdr:oneCellAnchor>
  <xdr:oneCellAnchor>
    <xdr:from>
      <xdr:col>7</xdr:col>
      <xdr:colOff>0</xdr:colOff>
      <xdr:row>27</xdr:row>
      <xdr:rowOff>9525</xdr:rowOff>
    </xdr:from>
    <xdr:ext cx="1790700" cy="2076450"/>
    <xdr:sp macro="" textlink="">
      <xdr:nvSpPr>
        <xdr:cNvPr id="7" name="Shape 8">
          <a:extLst>
            <a:ext uri="{FF2B5EF4-FFF2-40B4-BE49-F238E27FC236}">
              <a16:creationId xmlns:a16="http://schemas.microsoft.com/office/drawing/2014/main" id="{E2278F91-6548-442A-B4B3-560C8695F225}"/>
            </a:ext>
          </a:extLst>
        </xdr:cNvPr>
        <xdr:cNvSpPr/>
      </xdr:nvSpPr>
      <xdr:spPr>
        <a:xfrm>
          <a:off x="5467350" y="7191375"/>
          <a:ext cx="1790700" cy="2076450"/>
        </a:xfrm>
        <a:prstGeom prst="wedgeRoundRectCallout">
          <a:avLst>
            <a:gd name="adj1" fmla="val -749"/>
            <a:gd name="adj2" fmla="val -106743"/>
            <a:gd name="adj3" fmla="val 16667"/>
          </a:avLst>
        </a:prstGeom>
        <a:solidFill>
          <a:srgbClr val="FEE898">
            <a:alpha val="60000"/>
          </a:srgbClr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Žlutý sloupec ukazuje procentuální hodnotu vypočítanou na bázi dané otázky.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50 % z lidí, co žije v bytě, ho má pronajatý.</a:t>
          </a:r>
          <a:endParaRPr sz="1100"/>
        </a:p>
      </xdr:txBody>
    </xdr:sp>
    <xdr:clientData fLocksWithSheet="0"/>
  </xdr:oneCellAnchor>
  <xdr:oneCellAnchor>
    <xdr:from>
      <xdr:col>10</xdr:col>
      <xdr:colOff>9525</xdr:colOff>
      <xdr:row>27</xdr:row>
      <xdr:rowOff>0</xdr:rowOff>
    </xdr:from>
    <xdr:ext cx="1790700" cy="2085975"/>
    <xdr:sp macro="" textlink="">
      <xdr:nvSpPr>
        <xdr:cNvPr id="8" name="Shape 9">
          <a:extLst>
            <a:ext uri="{FF2B5EF4-FFF2-40B4-BE49-F238E27FC236}">
              <a16:creationId xmlns:a16="http://schemas.microsoft.com/office/drawing/2014/main" id="{20E3B914-68A5-4228-80EC-F74959A80B6F}"/>
            </a:ext>
          </a:extLst>
        </xdr:cNvPr>
        <xdr:cNvSpPr/>
      </xdr:nvSpPr>
      <xdr:spPr>
        <a:xfrm>
          <a:off x="7305675" y="7181850"/>
          <a:ext cx="1790700" cy="2085975"/>
        </a:xfrm>
        <a:prstGeom prst="wedgeRoundRectCallout">
          <a:avLst>
            <a:gd name="adj1" fmla="val -71401"/>
            <a:gd name="adj2" fmla="val -104943"/>
            <a:gd name="adj3" fmla="val 16667"/>
          </a:avLst>
        </a:prstGeom>
        <a:solidFill>
          <a:srgbClr val="E5B8B7">
            <a:alpha val="60000"/>
          </a:srgbClr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Červený sloupec ukazuje procentuální hodnotu vypočítanou z celkové bázé daného třídění.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endParaRPr sz="11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28 % z lidí z celkové populace žije v pronajatém bytě.</a:t>
          </a:r>
          <a:endParaRPr sz="1100"/>
        </a:p>
      </xdr:txBody>
    </xdr:sp>
    <xdr:clientData fLocksWithSheet="0"/>
  </xdr:oneCellAnchor>
  <xdr:oneCellAnchor>
    <xdr:from>
      <xdr:col>15</xdr:col>
      <xdr:colOff>9525</xdr:colOff>
      <xdr:row>7</xdr:row>
      <xdr:rowOff>133350</xdr:rowOff>
    </xdr:from>
    <xdr:ext cx="2400300" cy="2695575"/>
    <xdr:sp macro="" textlink="">
      <xdr:nvSpPr>
        <xdr:cNvPr id="9" name="Shape 10">
          <a:extLst>
            <a:ext uri="{FF2B5EF4-FFF2-40B4-BE49-F238E27FC236}">
              <a16:creationId xmlns:a16="http://schemas.microsoft.com/office/drawing/2014/main" id="{E63814EB-297D-454F-A674-ABD2BE4AE546}"/>
            </a:ext>
          </a:extLst>
        </xdr:cNvPr>
        <xdr:cNvSpPr/>
      </xdr:nvSpPr>
      <xdr:spPr>
        <a:xfrm>
          <a:off x="10353675" y="3095625"/>
          <a:ext cx="2400300" cy="2695575"/>
        </a:xfrm>
        <a:prstGeom prst="wedgeRoundRectCallout">
          <a:avLst>
            <a:gd name="adj1" fmla="val -74905"/>
            <a:gd name="adj2" fmla="val -4073"/>
            <a:gd name="adj3" fmla="val 16667"/>
          </a:avLst>
        </a:prstGeom>
        <a:solidFill>
          <a:srgbClr val="EAF1DD"/>
        </a:solidFill>
        <a:ln w="1905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Vyznačení signifikancí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Pokud je buňka s procentem </a:t>
          </a:r>
          <a:r>
            <a:rPr lang="en-US" sz="1100" b="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zeleně nebo červeně </a:t>
          </a: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podbarvena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znamená to, že je dané procento signifiklantně vyšší nebo nižší, než jak je tomu u celkové populace.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 tomto případě vidíme, že na vesnicích lidé signifikantně více žijí v rodinných domech, a naopak signifikantně méně v bytech.</a:t>
          </a:r>
          <a:endParaRPr sz="1100"/>
        </a:p>
      </xdr:txBody>
    </xdr:sp>
    <xdr:clientData fLocksWithSheet="0"/>
  </xdr:oneCellAnchor>
  <xdr:oneCellAnchor>
    <xdr:from>
      <xdr:col>13</xdr:col>
      <xdr:colOff>95250</xdr:colOff>
      <xdr:row>27</xdr:row>
      <xdr:rowOff>9525</xdr:rowOff>
    </xdr:from>
    <xdr:ext cx="923925" cy="1028700"/>
    <xdr:sp macro="" textlink="">
      <xdr:nvSpPr>
        <xdr:cNvPr id="10" name="Shape 11">
          <a:extLst>
            <a:ext uri="{FF2B5EF4-FFF2-40B4-BE49-F238E27FC236}">
              <a16:creationId xmlns:a16="http://schemas.microsoft.com/office/drawing/2014/main" id="{60040524-85D6-4425-BD1A-44C8810AB499}"/>
            </a:ext>
          </a:extLst>
        </xdr:cNvPr>
        <xdr:cNvSpPr/>
      </xdr:nvSpPr>
      <xdr:spPr>
        <a:xfrm>
          <a:off x="9220200" y="7191375"/>
          <a:ext cx="923925" cy="1028700"/>
        </a:xfrm>
        <a:prstGeom prst="wedgeRoundRectCallout">
          <a:avLst>
            <a:gd name="adj1" fmla="val -160535"/>
            <a:gd name="adj2" fmla="val -162926"/>
            <a:gd name="adj3" fmla="val 16667"/>
          </a:avLst>
        </a:prstGeom>
        <a:solidFill>
          <a:srgbClr val="DAEEF3">
            <a:alpha val="60000"/>
          </a:srgbClr>
        </a:solidFill>
        <a:ln w="1270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b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51 vesničanů žije v pronajatém bytě.</a:t>
          </a:r>
          <a:endParaRPr sz="900"/>
        </a:p>
      </xdr:txBody>
    </xdr:sp>
    <xdr:clientData fLocksWithSheet="0"/>
  </xdr:oneCellAnchor>
  <xdr:oneCellAnchor>
    <xdr:from>
      <xdr:col>14</xdr:col>
      <xdr:colOff>428625</xdr:colOff>
      <xdr:row>24</xdr:row>
      <xdr:rowOff>171450</xdr:rowOff>
    </xdr:from>
    <xdr:ext cx="981075" cy="1009650"/>
    <xdr:sp macro="" textlink="">
      <xdr:nvSpPr>
        <xdr:cNvPr id="11" name="Shape 12">
          <a:extLst>
            <a:ext uri="{FF2B5EF4-FFF2-40B4-BE49-F238E27FC236}">
              <a16:creationId xmlns:a16="http://schemas.microsoft.com/office/drawing/2014/main" id="{2E2EB5F2-D9FC-4530-AB33-BDE72E335AE6}"/>
            </a:ext>
          </a:extLst>
        </xdr:cNvPr>
        <xdr:cNvSpPr/>
      </xdr:nvSpPr>
      <xdr:spPr>
        <a:xfrm>
          <a:off x="10163175" y="6753225"/>
          <a:ext cx="981075" cy="1009650"/>
        </a:xfrm>
        <a:prstGeom prst="wedgeRoundRectCallout">
          <a:avLst>
            <a:gd name="adj1" fmla="val -195094"/>
            <a:gd name="adj2" fmla="val -117299"/>
            <a:gd name="adj3" fmla="val 16667"/>
          </a:avLst>
        </a:prstGeom>
        <a:solidFill>
          <a:srgbClr val="FEE898">
            <a:alpha val="60000"/>
          </a:srgbClr>
        </a:solidFill>
        <a:ln w="1270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62 % z vesničanů, co žije v bytě, ho má pronajatý.</a:t>
          </a:r>
          <a:endParaRPr sz="900"/>
        </a:p>
      </xdr:txBody>
    </xdr:sp>
    <xdr:clientData fLocksWithSheet="0"/>
  </xdr:oneCellAnchor>
  <xdr:oneCellAnchor>
    <xdr:from>
      <xdr:col>14</xdr:col>
      <xdr:colOff>276225</xdr:colOff>
      <xdr:row>19</xdr:row>
      <xdr:rowOff>142875</xdr:rowOff>
    </xdr:from>
    <xdr:ext cx="981075" cy="1009650"/>
    <xdr:sp macro="" textlink="">
      <xdr:nvSpPr>
        <xdr:cNvPr id="12" name="Shape 13">
          <a:extLst>
            <a:ext uri="{FF2B5EF4-FFF2-40B4-BE49-F238E27FC236}">
              <a16:creationId xmlns:a16="http://schemas.microsoft.com/office/drawing/2014/main" id="{3DEA9F29-02A7-4769-9AA0-2F3F96B9EF25}"/>
            </a:ext>
          </a:extLst>
        </xdr:cNvPr>
        <xdr:cNvSpPr/>
      </xdr:nvSpPr>
      <xdr:spPr>
        <a:xfrm>
          <a:off x="10010775" y="5734050"/>
          <a:ext cx="981075" cy="1009650"/>
        </a:xfrm>
        <a:prstGeom prst="wedgeRoundRectCallout">
          <a:avLst>
            <a:gd name="adj1" fmla="val -85068"/>
            <a:gd name="adj2" fmla="val -15531"/>
            <a:gd name="adj3" fmla="val 16667"/>
          </a:avLst>
        </a:prstGeom>
        <a:solidFill>
          <a:srgbClr val="E5B8B7">
            <a:alpha val="60000"/>
          </a:srgbClr>
        </a:solidFill>
        <a:ln w="12700" cap="flat" cmpd="sng">
          <a:solidFill>
            <a:srgbClr val="BFBFB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Jak to číst?</a:t>
          </a:r>
          <a:endParaRPr sz="9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900"/>
            <a:buFont typeface="Calibri"/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13 % ze všech vesničanů žije v pronajatém bytě.</a:t>
          </a:r>
          <a:endParaRPr sz="9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6C47-EF70-41E8-B91E-01EDFDB039D1}">
  <dimension ref="A1:AC36"/>
  <sheetViews>
    <sheetView tabSelected="1" workbookViewId="0"/>
  </sheetViews>
  <sheetFormatPr defaultRowHeight="15" x14ac:dyDescent="0.25"/>
  <cols>
    <col min="1" max="1" width="5.5703125" customWidth="1"/>
    <col min="2" max="2" width="22" customWidth="1"/>
    <col min="3" max="25" width="5.5703125" customWidth="1"/>
    <col min="26" max="29" width="5.42578125" customWidth="1"/>
  </cols>
  <sheetData>
    <row r="1" spans="1:29" s="40" customFormat="1" ht="18.75" x14ac:dyDescent="0.3">
      <c r="B1" s="50" t="s">
        <v>2226</v>
      </c>
    </row>
    <row r="2" spans="1:29" s="47" customFormat="1" x14ac:dyDescent="0.25">
      <c r="B2" s="48"/>
    </row>
    <row r="3" spans="1:29" x14ac:dyDescent="0.25">
      <c r="B3" s="41"/>
      <c r="C3" s="41" t="s">
        <v>2231</v>
      </c>
      <c r="D3" s="40"/>
      <c r="E3" s="40"/>
      <c r="F3" s="40"/>
      <c r="G3" s="40"/>
      <c r="H3" s="40"/>
      <c r="I3" s="40"/>
      <c r="J3" s="40"/>
      <c r="K3" s="40"/>
      <c r="L3" s="40"/>
      <c r="M3" s="40"/>
      <c r="P3" s="41" t="s">
        <v>2234</v>
      </c>
      <c r="Q3" s="40"/>
      <c r="R3" s="40"/>
      <c r="S3" s="40"/>
      <c r="T3" s="40"/>
      <c r="U3" s="40"/>
      <c r="W3" s="41" t="s">
        <v>2235</v>
      </c>
      <c r="X3" s="41"/>
      <c r="Y3" s="41"/>
      <c r="Z3" s="41"/>
      <c r="AA3" s="41"/>
      <c r="AB3" s="41"/>
      <c r="AC3" s="41"/>
    </row>
    <row r="4" spans="1:29" x14ac:dyDescent="0.25">
      <c r="B4" s="37"/>
      <c r="C4" s="49" t="s">
        <v>2232</v>
      </c>
      <c r="F4" s="49" t="s">
        <v>2233</v>
      </c>
    </row>
    <row r="5" spans="1:29" ht="15.75" thickBot="1" x14ac:dyDescent="0.3">
      <c r="B5" s="37" t="s">
        <v>2236</v>
      </c>
      <c r="C5" s="38" t="s">
        <v>2230</v>
      </c>
      <c r="D5" s="38"/>
      <c r="F5" s="38" t="s">
        <v>48</v>
      </c>
      <c r="G5" s="42" t="s">
        <v>1063</v>
      </c>
      <c r="H5" t="s">
        <v>2145</v>
      </c>
      <c r="I5" t="s">
        <v>2146</v>
      </c>
      <c r="J5" t="s">
        <v>2147</v>
      </c>
      <c r="K5" t="s">
        <v>2148</v>
      </c>
      <c r="L5" s="42" t="s">
        <v>2149</v>
      </c>
      <c r="M5" s="46" t="s">
        <v>2224</v>
      </c>
      <c r="P5" t="s">
        <v>2225</v>
      </c>
      <c r="Q5" s="42" t="s">
        <v>221</v>
      </c>
      <c r="R5" t="s">
        <v>201</v>
      </c>
      <c r="S5" t="s">
        <v>203</v>
      </c>
      <c r="T5" t="s">
        <v>208</v>
      </c>
      <c r="U5" t="s">
        <v>226</v>
      </c>
      <c r="V5" s="38"/>
      <c r="W5" t="s">
        <v>573</v>
      </c>
      <c r="X5" t="s">
        <v>571</v>
      </c>
      <c r="Y5" t="s">
        <v>570</v>
      </c>
      <c r="Z5" t="s">
        <v>574</v>
      </c>
      <c r="AA5" t="s">
        <v>572</v>
      </c>
      <c r="AB5" t="s">
        <v>569</v>
      </c>
      <c r="AC5" s="42" t="s">
        <v>2224</v>
      </c>
    </row>
    <row r="6" spans="1:29" ht="15.75" thickBot="1" x14ac:dyDescent="0.3">
      <c r="A6">
        <v>1</v>
      </c>
      <c r="B6" t="s">
        <v>2228</v>
      </c>
      <c r="C6" s="38">
        <v>0.01</v>
      </c>
      <c r="F6" s="44">
        <v>8.4745762711864403E-2</v>
      </c>
      <c r="G6" s="38">
        <v>8.4745762711864403E-2</v>
      </c>
      <c r="H6" s="38">
        <v>4.2372881355932202E-2</v>
      </c>
      <c r="I6" s="38">
        <v>5.9322033898305086E-2</v>
      </c>
      <c r="J6" s="38">
        <v>8.050847457627118E-2</v>
      </c>
      <c r="K6" s="38">
        <v>7.6271186440677971E-2</v>
      </c>
      <c r="L6" s="43">
        <v>0.14194915254237289</v>
      </c>
      <c r="M6" s="39">
        <v>0.4809322033898305</v>
      </c>
      <c r="N6" s="38"/>
      <c r="O6" s="38"/>
      <c r="P6" s="38">
        <v>0.42161016949152541</v>
      </c>
      <c r="Q6" s="43">
        <v>5.9322033898305086E-2</v>
      </c>
      <c r="R6" s="38">
        <v>0.36228813559322032</v>
      </c>
      <c r="S6" s="38">
        <v>0.48728813559322032</v>
      </c>
      <c r="T6" s="38">
        <v>7.6271186440677971E-2</v>
      </c>
      <c r="U6" s="38">
        <v>1.4830508474576272E-2</v>
      </c>
      <c r="V6" s="38"/>
      <c r="W6" s="38">
        <v>0.39830508474576271</v>
      </c>
      <c r="X6" s="38">
        <v>6.1440677966101698E-2</v>
      </c>
      <c r="Y6" s="38">
        <v>0.1038135593220339</v>
      </c>
      <c r="Z6" s="38">
        <v>9.3220338983050849E-2</v>
      </c>
      <c r="AA6" s="38">
        <v>0.11440677966101695</v>
      </c>
      <c r="AB6" s="38">
        <v>7.2033898305084748E-2</v>
      </c>
      <c r="AC6" s="43">
        <v>0.4385593220338983</v>
      </c>
    </row>
    <row r="7" spans="1:29" ht="15.75" thickBot="1" x14ac:dyDescent="0.3">
      <c r="A7">
        <v>2</v>
      </c>
      <c r="B7" t="s">
        <v>23</v>
      </c>
      <c r="C7" s="38">
        <v>0</v>
      </c>
      <c r="F7" s="45">
        <v>5.2966101694915252E-2</v>
      </c>
      <c r="G7" s="38">
        <v>0.22245762711864406</v>
      </c>
      <c r="H7" s="38">
        <v>4.4491525423728813E-2</v>
      </c>
      <c r="I7" s="38">
        <v>0.11016949152542373</v>
      </c>
      <c r="J7" s="38">
        <v>6.7796610169491525E-2</v>
      </c>
      <c r="K7" s="38">
        <v>3.1779661016949151E-2</v>
      </c>
      <c r="L7" s="43">
        <v>0.125</v>
      </c>
      <c r="M7" s="39">
        <v>0.44491525423728812</v>
      </c>
      <c r="N7" s="38"/>
      <c r="O7" s="38"/>
      <c r="P7" s="38">
        <v>0.40677966101694918</v>
      </c>
      <c r="Q7" s="43">
        <v>0.11228813559322035</v>
      </c>
      <c r="R7" s="38">
        <v>0.29449152542372881</v>
      </c>
      <c r="S7" s="38">
        <v>0.46610169491525422</v>
      </c>
      <c r="T7" s="38">
        <v>0.1059322033898305</v>
      </c>
      <c r="U7" s="38">
        <v>2.1186440677966101E-2</v>
      </c>
      <c r="V7" s="38"/>
      <c r="W7" s="38">
        <v>0.2288135593220339</v>
      </c>
      <c r="X7" s="38">
        <v>0.53601694915254239</v>
      </c>
      <c r="Y7" s="38">
        <v>0.23728813559322035</v>
      </c>
      <c r="Z7" s="38">
        <v>0.15042372881355931</v>
      </c>
      <c r="AA7" s="38">
        <v>3.6016949152542374E-2</v>
      </c>
      <c r="AB7" s="38">
        <v>4.025423728813559E-2</v>
      </c>
      <c r="AC7" s="43">
        <v>0.30720338983050849</v>
      </c>
    </row>
    <row r="8" spans="1:29" ht="15.75" thickBot="1" x14ac:dyDescent="0.3">
      <c r="A8">
        <v>3</v>
      </c>
      <c r="B8" t="s">
        <v>1404</v>
      </c>
      <c r="C8" s="38">
        <v>0</v>
      </c>
      <c r="F8" s="39">
        <v>4.6610169491525424E-2</v>
      </c>
      <c r="G8" s="38">
        <v>0.1652542372881356</v>
      </c>
      <c r="H8" s="38">
        <v>4.025423728813559E-2</v>
      </c>
      <c r="I8" s="38">
        <v>5.9322033898305086E-2</v>
      </c>
      <c r="J8" s="38">
        <v>8.8983050847457626E-2</v>
      </c>
      <c r="K8" s="38">
        <v>3.6016949152542374E-2</v>
      </c>
      <c r="L8" s="43">
        <v>0.12076271186440678</v>
      </c>
      <c r="M8" s="39">
        <v>0.52542372881355937</v>
      </c>
      <c r="N8" s="38"/>
      <c r="O8" s="38"/>
      <c r="P8" s="38">
        <v>0.47669491525423729</v>
      </c>
      <c r="Q8" s="43">
        <v>0.1038135593220339</v>
      </c>
      <c r="R8" s="38">
        <v>0.3728813559322034</v>
      </c>
      <c r="S8" s="38">
        <v>0.43220338983050849</v>
      </c>
      <c r="T8" s="38">
        <v>5.7203389830508475E-2</v>
      </c>
      <c r="U8" s="38">
        <v>3.3898305084745763E-2</v>
      </c>
      <c r="V8" s="38"/>
      <c r="W8" s="38">
        <v>0.38771186440677968</v>
      </c>
      <c r="X8" s="38">
        <v>4.8728813559322036E-2</v>
      </c>
      <c r="Y8" s="38">
        <v>0.16313559322033899</v>
      </c>
      <c r="Z8" s="38">
        <v>0.16949152542372881</v>
      </c>
      <c r="AA8" s="38">
        <v>6.3559322033898302E-2</v>
      </c>
      <c r="AB8" s="38">
        <v>8.2627118644067798E-2</v>
      </c>
      <c r="AC8" s="43">
        <v>0.40889830508474578</v>
      </c>
    </row>
    <row r="9" spans="1:29" ht="15.75" thickBot="1" x14ac:dyDescent="0.3">
      <c r="A9">
        <v>4</v>
      </c>
      <c r="B9" t="s">
        <v>1010</v>
      </c>
      <c r="C9" s="38">
        <v>0.04</v>
      </c>
      <c r="F9" s="38">
        <v>3.8135593220338986E-2</v>
      </c>
      <c r="G9" s="45">
        <v>0.3728813559322034</v>
      </c>
      <c r="H9" s="38">
        <v>2.5423728813559324E-2</v>
      </c>
      <c r="I9" s="38">
        <v>8.8983050847457626E-2</v>
      </c>
      <c r="J9" s="38">
        <v>6.7796610169491525E-2</v>
      </c>
      <c r="K9" s="38">
        <v>3.6016949152542374E-2</v>
      </c>
      <c r="L9" s="43">
        <v>8.4745762711864403E-2</v>
      </c>
      <c r="M9" s="39">
        <v>0.36652542372881358</v>
      </c>
      <c r="N9" s="38"/>
      <c r="O9" s="38"/>
      <c r="P9" s="38">
        <v>0.5402542372881356</v>
      </c>
      <c r="Q9" s="43">
        <v>0.13559322033898305</v>
      </c>
      <c r="R9" s="38">
        <v>0.40466101694915252</v>
      </c>
      <c r="S9" s="38">
        <v>0.41313559322033899</v>
      </c>
      <c r="T9" s="38">
        <v>3.1779661016949151E-2</v>
      </c>
      <c r="U9" s="38">
        <v>1.4830508474576272E-2</v>
      </c>
      <c r="V9" s="38"/>
      <c r="W9" s="38">
        <v>0.26694915254237289</v>
      </c>
      <c r="X9" s="38">
        <v>0.56144067796610164</v>
      </c>
      <c r="Y9" s="38">
        <v>0.2478813559322034</v>
      </c>
      <c r="Z9" s="38">
        <v>0.20550847457627119</v>
      </c>
      <c r="AA9" s="38">
        <v>5.0847457627118647E-2</v>
      </c>
      <c r="AB9" s="38">
        <v>3.8135593220338986E-2</v>
      </c>
      <c r="AC9" s="43">
        <v>0.23728813559322035</v>
      </c>
    </row>
    <row r="10" spans="1:29" x14ac:dyDescent="0.25">
      <c r="A10">
        <v>5</v>
      </c>
      <c r="B10" t="s">
        <v>2229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>
        <v>0.34745762711864409</v>
      </c>
      <c r="Q10" s="43">
        <v>3.6016949152542374E-2</v>
      </c>
      <c r="R10" s="38">
        <v>0.3114406779661017</v>
      </c>
      <c r="S10" s="38">
        <v>0.52330508474576276</v>
      </c>
      <c r="T10" s="38">
        <v>0.11016949152542373</v>
      </c>
      <c r="U10" s="38">
        <v>1.9067796610169493E-2</v>
      </c>
      <c r="V10" s="38"/>
      <c r="W10" s="38"/>
      <c r="X10" s="38"/>
      <c r="Y10" s="38"/>
      <c r="Z10" s="38"/>
      <c r="AA10" s="38"/>
      <c r="AB10" s="38"/>
      <c r="AC10" s="38"/>
    </row>
    <row r="11" spans="1:29" x14ac:dyDescent="0.25"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x14ac:dyDescent="0.25">
      <c r="B12" s="37" t="s">
        <v>2223</v>
      </c>
      <c r="F12" t="s">
        <v>48</v>
      </c>
      <c r="G12" t="s">
        <v>1063</v>
      </c>
      <c r="H12" t="s">
        <v>2145</v>
      </c>
      <c r="I12" t="s">
        <v>2146</v>
      </c>
      <c r="J12" t="s">
        <v>2147</v>
      </c>
      <c r="K12" t="s">
        <v>2148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</row>
    <row r="13" spans="1:29" x14ac:dyDescent="0.25">
      <c r="F13" s="38">
        <v>0.3940677966101695</v>
      </c>
      <c r="G13" s="38">
        <v>0.90042372881355937</v>
      </c>
      <c r="H13" s="38">
        <v>7.8389830508474576E-2</v>
      </c>
      <c r="I13" s="38">
        <v>0.63347457627118642</v>
      </c>
      <c r="J13" s="38">
        <v>0.54449152542372881</v>
      </c>
      <c r="K13" s="38">
        <v>0.33050847457627119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38"/>
    </row>
    <row r="14" spans="1:29" x14ac:dyDescent="0.25"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</row>
    <row r="15" spans="1:29" x14ac:dyDescent="0.25">
      <c r="B15" s="37" t="s">
        <v>2237</v>
      </c>
      <c r="F15" t="s">
        <v>48</v>
      </c>
      <c r="G15" t="s">
        <v>1063</v>
      </c>
      <c r="H15" t="s">
        <v>2145</v>
      </c>
      <c r="I15" t="s">
        <v>2146</v>
      </c>
      <c r="J15" t="s">
        <v>2147</v>
      </c>
      <c r="K15" t="s">
        <v>2148</v>
      </c>
      <c r="O15" s="38"/>
      <c r="P15" s="38"/>
      <c r="Q15" s="38"/>
      <c r="R15" s="38"/>
      <c r="S15" s="38"/>
      <c r="T15" s="38"/>
      <c r="U15" s="38"/>
      <c r="V15" s="38"/>
      <c r="AC15" s="38"/>
    </row>
    <row r="16" spans="1:29" x14ac:dyDescent="0.25">
      <c r="F16" s="38">
        <v>6.991525423728813E-2</v>
      </c>
      <c r="G16" s="38">
        <v>0.6271186440677966</v>
      </c>
      <c r="H16" s="38">
        <v>1.059322033898305E-2</v>
      </c>
      <c r="I16" s="38">
        <v>0.1059322033898305</v>
      </c>
      <c r="J16" s="38">
        <v>0.15889830508474576</v>
      </c>
      <c r="K16" s="38">
        <v>6.7796610169491525E-2</v>
      </c>
    </row>
    <row r="21" spans="1:29" s="40" customFormat="1" ht="18.75" x14ac:dyDescent="0.3">
      <c r="B21" s="50" t="s">
        <v>2227</v>
      </c>
    </row>
    <row r="22" spans="1:29" s="47" customFormat="1" x14ac:dyDescent="0.25">
      <c r="B22" s="48"/>
    </row>
    <row r="23" spans="1:29" x14ac:dyDescent="0.25">
      <c r="B23" s="41"/>
      <c r="C23" s="41" t="s">
        <v>2231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P23" s="41" t="s">
        <v>2234</v>
      </c>
      <c r="Q23" s="40"/>
      <c r="R23" s="40"/>
      <c r="S23" s="40"/>
      <c r="T23" s="40"/>
      <c r="U23" s="40"/>
      <c r="W23" s="41" t="s">
        <v>2235</v>
      </c>
      <c r="X23" s="41"/>
      <c r="Y23" s="41"/>
      <c r="Z23" s="41"/>
      <c r="AA23" s="41"/>
      <c r="AB23" s="41"/>
      <c r="AC23" s="41"/>
    </row>
    <row r="24" spans="1:29" x14ac:dyDescent="0.25">
      <c r="C24" s="49" t="s">
        <v>2232</v>
      </c>
      <c r="F24" s="49" t="s">
        <v>2233</v>
      </c>
    </row>
    <row r="25" spans="1:29" ht="15.75" thickBot="1" x14ac:dyDescent="0.3">
      <c r="B25" s="37" t="s">
        <v>2236</v>
      </c>
      <c r="C25" s="38" t="s">
        <v>2230</v>
      </c>
      <c r="F25" s="38" t="s">
        <v>48</v>
      </c>
      <c r="G25" s="42" t="s">
        <v>1063</v>
      </c>
      <c r="H25" t="s">
        <v>2145</v>
      </c>
      <c r="I25" t="s">
        <v>2146</v>
      </c>
      <c r="J25" t="s">
        <v>2147</v>
      </c>
      <c r="K25" t="s">
        <v>2148</v>
      </c>
      <c r="L25" s="42" t="s">
        <v>2149</v>
      </c>
      <c r="M25" s="42" t="s">
        <v>2224</v>
      </c>
      <c r="P25" t="s">
        <v>2225</v>
      </c>
      <c r="Q25" s="42" t="s">
        <v>221</v>
      </c>
      <c r="R25" t="s">
        <v>201</v>
      </c>
      <c r="S25" t="s">
        <v>203</v>
      </c>
      <c r="T25" t="s">
        <v>208</v>
      </c>
      <c r="U25" t="s">
        <v>226</v>
      </c>
      <c r="V25" s="38"/>
      <c r="W25" t="s">
        <v>573</v>
      </c>
      <c r="X25" t="s">
        <v>571</v>
      </c>
      <c r="Y25" t="s">
        <v>570</v>
      </c>
      <c r="Z25" t="s">
        <v>574</v>
      </c>
      <c r="AA25" t="s">
        <v>572</v>
      </c>
      <c r="AB25" t="s">
        <v>569</v>
      </c>
      <c r="AC25" s="42" t="s">
        <v>2224</v>
      </c>
    </row>
    <row r="26" spans="1:29" ht="15.75" thickBot="1" x14ac:dyDescent="0.3">
      <c r="A26">
        <v>1</v>
      </c>
      <c r="B26" t="s">
        <v>2228</v>
      </c>
      <c r="C26" s="38">
        <v>0.01</v>
      </c>
      <c r="F26" s="44">
        <v>6.4000000000000001E-2</v>
      </c>
      <c r="G26" s="38">
        <v>7.2999999999999995E-2</v>
      </c>
      <c r="H26" s="38">
        <v>4.3999999999999997E-2</v>
      </c>
      <c r="I26" s="38">
        <v>4.9000000000000002E-2</v>
      </c>
      <c r="J26" s="38">
        <v>7.6999999999999999E-2</v>
      </c>
      <c r="K26" s="38">
        <v>7.2999999999999995E-2</v>
      </c>
      <c r="L26" s="43">
        <v>0.14199999999999999</v>
      </c>
      <c r="M26" s="43">
        <v>0.52200000000000002</v>
      </c>
      <c r="N26" s="38"/>
      <c r="O26" s="38"/>
      <c r="P26" s="39">
        <v>0.38900000000000001</v>
      </c>
      <c r="Q26" s="43">
        <v>4.9000000000000002E-2</v>
      </c>
      <c r="R26" s="38">
        <v>0.34</v>
      </c>
      <c r="S26" s="38">
        <v>0.51500000000000001</v>
      </c>
      <c r="T26" s="38">
        <v>7.4999999999999997E-2</v>
      </c>
      <c r="U26" s="38">
        <v>2.1000000000000001E-2</v>
      </c>
      <c r="V26" s="38"/>
      <c r="W26" s="38">
        <v>0.35099999999999998</v>
      </c>
      <c r="X26" s="38">
        <v>0.06</v>
      </c>
      <c r="Y26" s="38">
        <v>8.5000000000000006E-2</v>
      </c>
      <c r="Z26" s="38">
        <v>7.4999999999999997E-2</v>
      </c>
      <c r="AA26" s="38">
        <v>0.09</v>
      </c>
      <c r="AB26" s="38">
        <v>5.8999999999999997E-2</v>
      </c>
      <c r="AC26" s="43">
        <v>0.47899999999999998</v>
      </c>
    </row>
    <row r="27" spans="1:29" ht="15.75" thickBot="1" x14ac:dyDescent="0.3">
      <c r="A27">
        <v>2</v>
      </c>
      <c r="B27" t="s">
        <v>23</v>
      </c>
      <c r="C27" s="38">
        <v>0</v>
      </c>
      <c r="F27" s="45">
        <v>3.5000000000000003E-2</v>
      </c>
      <c r="G27" s="38">
        <v>0.186</v>
      </c>
      <c r="H27" s="38">
        <v>4.3999999999999997E-2</v>
      </c>
      <c r="I27" s="38">
        <v>9.0999999999999998E-2</v>
      </c>
      <c r="J27" s="38">
        <v>5.6000000000000001E-2</v>
      </c>
      <c r="K27" s="38">
        <v>0.03</v>
      </c>
      <c r="L27" s="43">
        <v>0.112</v>
      </c>
      <c r="M27" s="43">
        <v>0.51600000000000001</v>
      </c>
      <c r="N27" s="38"/>
      <c r="O27" s="38"/>
      <c r="P27" s="39">
        <v>0.34399999999999997</v>
      </c>
      <c r="Q27" s="43">
        <v>0.09</v>
      </c>
      <c r="R27" s="38">
        <v>0.254</v>
      </c>
      <c r="S27" s="38">
        <v>0.505</v>
      </c>
      <c r="T27" s="38">
        <v>0.11899999999999999</v>
      </c>
      <c r="U27" s="38">
        <v>3.2000000000000001E-2</v>
      </c>
      <c r="V27" s="38"/>
      <c r="W27" s="38">
        <v>0.17199999999999999</v>
      </c>
      <c r="X27" s="38">
        <v>0.44600000000000001</v>
      </c>
      <c r="Y27" s="38">
        <v>0.17299999999999999</v>
      </c>
      <c r="Z27" s="38">
        <v>0.11700000000000001</v>
      </c>
      <c r="AA27" s="38">
        <v>0.04</v>
      </c>
      <c r="AB27" s="38">
        <v>0.04</v>
      </c>
      <c r="AC27" s="43">
        <v>0.38300000000000001</v>
      </c>
    </row>
    <row r="28" spans="1:29" ht="15.75" thickBot="1" x14ac:dyDescent="0.3">
      <c r="A28">
        <v>3</v>
      </c>
      <c r="B28" t="s">
        <v>1404</v>
      </c>
      <c r="C28" s="38">
        <v>0</v>
      </c>
      <c r="F28" s="39">
        <v>3.4000000000000002E-2</v>
      </c>
      <c r="G28" s="38">
        <v>0.13800000000000001</v>
      </c>
      <c r="H28" s="38">
        <v>4.4999999999999998E-2</v>
      </c>
      <c r="I28" s="38">
        <v>4.9000000000000002E-2</v>
      </c>
      <c r="J28" s="38">
        <v>6.8000000000000005E-2</v>
      </c>
      <c r="K28" s="38">
        <v>4.2999999999999997E-2</v>
      </c>
      <c r="L28" s="43">
        <v>0.123</v>
      </c>
      <c r="M28" s="43">
        <v>0.55700000000000005</v>
      </c>
      <c r="N28" s="38"/>
      <c r="O28" s="38"/>
      <c r="P28" s="39">
        <v>0.42700000000000005</v>
      </c>
      <c r="Q28" s="43">
        <v>9.4E-2</v>
      </c>
      <c r="R28" s="38">
        <v>0.33300000000000002</v>
      </c>
      <c r="S28" s="38">
        <v>0.47799999999999998</v>
      </c>
      <c r="T28" s="38">
        <v>6.2E-2</v>
      </c>
      <c r="U28" s="38">
        <v>3.3000000000000002E-2</v>
      </c>
      <c r="V28" s="38"/>
      <c r="W28" s="38">
        <v>0.34300000000000003</v>
      </c>
      <c r="X28" s="38">
        <v>6.0999999999999999E-2</v>
      </c>
      <c r="Y28" s="38">
        <v>0.13900000000000001</v>
      </c>
      <c r="Z28" s="38">
        <v>0.126</v>
      </c>
      <c r="AA28" s="38">
        <v>5.6000000000000001E-2</v>
      </c>
      <c r="AB28" s="38">
        <v>7.2999999999999995E-2</v>
      </c>
      <c r="AC28" s="43">
        <v>0.45800000000000002</v>
      </c>
    </row>
    <row r="29" spans="1:29" ht="15.75" thickBot="1" x14ac:dyDescent="0.3">
      <c r="A29">
        <v>4</v>
      </c>
      <c r="B29" t="s">
        <v>1010</v>
      </c>
      <c r="C29" s="38">
        <v>0.03</v>
      </c>
      <c r="F29" s="38">
        <v>3.7999999999999999E-2</v>
      </c>
      <c r="G29" s="45">
        <v>0.26600000000000001</v>
      </c>
      <c r="H29" s="38">
        <v>2.9000000000000001E-2</v>
      </c>
      <c r="I29" s="38">
        <v>7.4999999999999997E-2</v>
      </c>
      <c r="J29" s="38">
        <v>5.8999999999999997E-2</v>
      </c>
      <c r="K29" s="38">
        <v>3.6999999999999998E-2</v>
      </c>
      <c r="L29" s="43">
        <v>0.105</v>
      </c>
      <c r="M29" s="43">
        <v>0.45500000000000002</v>
      </c>
      <c r="N29" s="38"/>
      <c r="O29" s="38"/>
      <c r="P29" s="39">
        <v>0.45599999999999996</v>
      </c>
      <c r="Q29" s="43">
        <v>0.10299999999999999</v>
      </c>
      <c r="R29" s="38">
        <v>0.35299999999999998</v>
      </c>
      <c r="S29" s="38">
        <v>0.47799999999999998</v>
      </c>
      <c r="T29" s="38">
        <v>0.04</v>
      </c>
      <c r="U29" s="38">
        <v>2.5999999999999999E-2</v>
      </c>
      <c r="V29" s="38"/>
      <c r="W29" s="38">
        <v>0.23499999999999999</v>
      </c>
      <c r="X29" s="38">
        <v>0.47399999999999998</v>
      </c>
      <c r="Y29" s="38">
        <v>0.191</v>
      </c>
      <c r="Z29" s="38">
        <v>0.16400000000000001</v>
      </c>
      <c r="AA29" s="38">
        <v>0.04</v>
      </c>
      <c r="AB29" s="38">
        <v>3.2000000000000001E-2</v>
      </c>
      <c r="AC29" s="43">
        <v>0.318</v>
      </c>
    </row>
    <row r="30" spans="1:29" x14ac:dyDescent="0.25">
      <c r="A30">
        <v>5</v>
      </c>
      <c r="B30" t="s">
        <v>2229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9">
        <v>0.34499999999999997</v>
      </c>
      <c r="Q30" s="43">
        <v>3.5999999999999997E-2</v>
      </c>
      <c r="R30" s="38">
        <v>0.309</v>
      </c>
      <c r="S30" s="38">
        <v>0.52300000000000002</v>
      </c>
      <c r="T30" s="38">
        <v>0.11</v>
      </c>
      <c r="U30" s="38">
        <v>2.1999999999999999E-2</v>
      </c>
      <c r="V30" s="38"/>
      <c r="W30" s="38"/>
      <c r="X30" s="38"/>
      <c r="Y30" s="38"/>
      <c r="Z30" s="38"/>
      <c r="AA30" s="38"/>
      <c r="AB30" s="38"/>
      <c r="AC30" s="38"/>
    </row>
    <row r="31" spans="1:29" x14ac:dyDescent="0.25"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</row>
    <row r="32" spans="1:29" x14ac:dyDescent="0.25">
      <c r="B32" s="37" t="s">
        <v>2223</v>
      </c>
      <c r="F32" t="s">
        <v>48</v>
      </c>
      <c r="G32" t="s">
        <v>1063</v>
      </c>
      <c r="H32" t="s">
        <v>2145</v>
      </c>
      <c r="I32" t="s">
        <v>2146</v>
      </c>
      <c r="J32" t="s">
        <v>2147</v>
      </c>
      <c r="K32" t="s">
        <v>2148</v>
      </c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</row>
    <row r="33" spans="2:29" x14ac:dyDescent="0.25">
      <c r="F33" s="38">
        <v>0.28499999999999998</v>
      </c>
      <c r="G33" s="38">
        <v>0.73699999999999999</v>
      </c>
      <c r="H33" s="38">
        <v>4.9000000000000002E-2</v>
      </c>
      <c r="I33" s="38">
        <v>0.55100000000000005</v>
      </c>
      <c r="J33" s="38">
        <v>0.443</v>
      </c>
      <c r="K33" s="38">
        <v>0.22900000000000001</v>
      </c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  <row r="34" spans="2:29" x14ac:dyDescent="0.25"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</row>
    <row r="35" spans="2:29" x14ac:dyDescent="0.25">
      <c r="B35" s="37" t="s">
        <v>2237</v>
      </c>
      <c r="F35" t="s">
        <v>48</v>
      </c>
      <c r="G35" t="s">
        <v>1063</v>
      </c>
      <c r="H35" t="s">
        <v>2145</v>
      </c>
      <c r="I35" t="s">
        <v>2146</v>
      </c>
      <c r="J35" t="s">
        <v>2147</v>
      </c>
      <c r="K35" t="s">
        <v>2148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</row>
    <row r="36" spans="2:29" x14ac:dyDescent="0.25">
      <c r="F36" s="38">
        <v>4.4999999999999998E-2</v>
      </c>
      <c r="G36" s="38">
        <v>0.40699999999999997</v>
      </c>
      <c r="H36" s="38">
        <v>5.0000000000000001E-3</v>
      </c>
      <c r="I36" s="38">
        <v>9.4E-2</v>
      </c>
      <c r="J36" s="38">
        <v>0.129</v>
      </c>
      <c r="K36" s="38">
        <v>4.2000000000000003E-2</v>
      </c>
    </row>
  </sheetData>
  <autoFilter ref="A5:AA10" xr:uid="{56EC6C47-EF70-41E8-B91E-01EDFDB039D1}"/>
  <conditionalFormatting sqref="F13:N1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:O9 V5:V10 V6:AC9">
    <cfRule type="colorScale" priority="29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:AC12 O14:AC14 O13:V13 AC13 O15:V15 AC15">
    <cfRule type="colorScale" priority="29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:K1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:N3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6:O29 V25 V30 V26:AC2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1:AC3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6:K3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:U1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6:U3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:D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C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:C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08"/>
  <sheetViews>
    <sheetView workbookViewId="0"/>
  </sheetViews>
  <sheetFormatPr defaultRowHeight="15" x14ac:dyDescent="0.25"/>
  <cols>
    <col min="1" max="5" width="30.7109375" customWidth="1"/>
  </cols>
  <sheetData>
    <row r="1" spans="1:1" s="3" customFormat="1" x14ac:dyDescent="0.25">
      <c r="A1" s="9" t="str">
        <f>HYPERLINK("#Tabulka!A148","Kterou **značku** si vybavíte, když vidíte tuto osobnost?")</f>
        <v>Kterou **značku** si vybavíte, když vidíte tuto osobnost?</v>
      </c>
    </row>
    <row r="2" spans="1:1" x14ac:dyDescent="0.25">
      <c r="A2" t="s">
        <v>132</v>
      </c>
    </row>
    <row r="3" spans="1:1" x14ac:dyDescent="0.25">
      <c r="A3" t="s">
        <v>1403</v>
      </c>
    </row>
    <row r="4" spans="1:1" x14ac:dyDescent="0.25">
      <c r="A4" t="s">
        <v>1404</v>
      </c>
    </row>
    <row r="5" spans="1:1" x14ac:dyDescent="0.25">
      <c r="A5" t="s">
        <v>1405</v>
      </c>
    </row>
    <row r="6" spans="1:1" x14ac:dyDescent="0.25">
      <c r="A6" t="s">
        <v>1406</v>
      </c>
    </row>
    <row r="7" spans="1:1" x14ac:dyDescent="0.25">
      <c r="A7" t="s">
        <v>1407</v>
      </c>
    </row>
    <row r="8" spans="1:1" x14ac:dyDescent="0.25">
      <c r="A8" t="s">
        <v>1408</v>
      </c>
    </row>
    <row r="9" spans="1:1" x14ac:dyDescent="0.25">
      <c r="A9" t="s">
        <v>47</v>
      </c>
    </row>
    <row r="10" spans="1:1" x14ac:dyDescent="0.25">
      <c r="A10" t="s">
        <v>1409</v>
      </c>
    </row>
    <row r="11" spans="1:1" x14ac:dyDescent="0.25">
      <c r="A11" t="s">
        <v>1407</v>
      </c>
    </row>
    <row r="12" spans="1:1" x14ac:dyDescent="0.25">
      <c r="A12" t="s">
        <v>1410</v>
      </c>
    </row>
    <row r="13" spans="1:1" x14ac:dyDescent="0.25">
      <c r="A13" t="s">
        <v>1404</v>
      </c>
    </row>
    <row r="14" spans="1:1" x14ac:dyDescent="0.25">
      <c r="A14" t="s">
        <v>1411</v>
      </c>
    </row>
    <row r="15" spans="1:1" x14ac:dyDescent="0.25">
      <c r="A15" t="s">
        <v>1404</v>
      </c>
    </row>
    <row r="16" spans="1:1" x14ac:dyDescent="0.25">
      <c r="A16" t="s">
        <v>1412</v>
      </c>
    </row>
    <row r="17" spans="1:1" x14ac:dyDescent="0.25">
      <c r="A17" t="s">
        <v>1413</v>
      </c>
    </row>
    <row r="18" spans="1:1" x14ac:dyDescent="0.25">
      <c r="A18" t="s">
        <v>111</v>
      </c>
    </row>
    <row r="19" spans="1:1" x14ac:dyDescent="0.25">
      <c r="A19" t="s">
        <v>1414</v>
      </c>
    </row>
    <row r="20" spans="1:1" x14ac:dyDescent="0.25">
      <c r="A20" t="s">
        <v>1415</v>
      </c>
    </row>
    <row r="21" spans="1:1" x14ac:dyDescent="0.25">
      <c r="A21" t="s">
        <v>848</v>
      </c>
    </row>
    <row r="22" spans="1:1" x14ac:dyDescent="0.25">
      <c r="A22" t="s">
        <v>1416</v>
      </c>
    </row>
    <row r="23" spans="1:1" x14ac:dyDescent="0.25">
      <c r="A23" t="s">
        <v>1417</v>
      </c>
    </row>
    <row r="24" spans="1:1" x14ac:dyDescent="0.25">
      <c r="A24" t="s">
        <v>26</v>
      </c>
    </row>
    <row r="25" spans="1:1" x14ac:dyDescent="0.25">
      <c r="A25" t="s">
        <v>26</v>
      </c>
    </row>
    <row r="26" spans="1:1" x14ac:dyDescent="0.25">
      <c r="A26" t="s">
        <v>53</v>
      </c>
    </row>
    <row r="27" spans="1:1" x14ac:dyDescent="0.25">
      <c r="A27" t="s">
        <v>1418</v>
      </c>
    </row>
    <row r="28" spans="1:1" x14ac:dyDescent="0.25">
      <c r="A28" t="s">
        <v>1408</v>
      </c>
    </row>
    <row r="29" spans="1:1" x14ac:dyDescent="0.25">
      <c r="A29" t="s">
        <v>46</v>
      </c>
    </row>
    <row r="30" spans="1:1" x14ac:dyDescent="0.25">
      <c r="A30" t="s">
        <v>53</v>
      </c>
    </row>
    <row r="31" spans="1:1" x14ac:dyDescent="0.25">
      <c r="A31" t="s">
        <v>1415</v>
      </c>
    </row>
    <row r="32" spans="1:1" x14ac:dyDescent="0.25">
      <c r="A32" t="s">
        <v>26</v>
      </c>
    </row>
    <row r="33" spans="1:1" x14ac:dyDescent="0.25">
      <c r="A33" t="s">
        <v>1419</v>
      </c>
    </row>
    <row r="34" spans="1:1" x14ac:dyDescent="0.25">
      <c r="A34" t="s">
        <v>1420</v>
      </c>
    </row>
    <row r="35" spans="1:1" x14ac:dyDescent="0.25">
      <c r="A35" t="s">
        <v>479</v>
      </c>
    </row>
    <row r="36" spans="1:1" x14ac:dyDescent="0.25">
      <c r="A36" t="s">
        <v>1408</v>
      </c>
    </row>
    <row r="37" spans="1:1" x14ac:dyDescent="0.25">
      <c r="A37" t="s">
        <v>1421</v>
      </c>
    </row>
    <row r="38" spans="1:1" x14ac:dyDescent="0.25">
      <c r="A38" t="s">
        <v>1415</v>
      </c>
    </row>
    <row r="39" spans="1:1" x14ac:dyDescent="0.25">
      <c r="A39" t="s">
        <v>1422</v>
      </c>
    </row>
    <row r="40" spans="1:1" x14ac:dyDescent="0.25">
      <c r="A40" t="s">
        <v>26</v>
      </c>
    </row>
    <row r="41" spans="1:1" x14ac:dyDescent="0.25">
      <c r="A41" t="s">
        <v>26</v>
      </c>
    </row>
    <row r="42" spans="1:1" x14ac:dyDescent="0.25">
      <c r="A42" t="s">
        <v>1404</v>
      </c>
    </row>
    <row r="43" spans="1:1" x14ac:dyDescent="0.25">
      <c r="A43" t="s">
        <v>1423</v>
      </c>
    </row>
    <row r="44" spans="1:1" x14ac:dyDescent="0.25">
      <c r="A44" t="s">
        <v>1424</v>
      </c>
    </row>
    <row r="45" spans="1:1" x14ac:dyDescent="0.25">
      <c r="A45" t="s">
        <v>1425</v>
      </c>
    </row>
    <row r="46" spans="1:1" x14ac:dyDescent="0.25">
      <c r="A46" t="s">
        <v>1426</v>
      </c>
    </row>
    <row r="47" spans="1:1" x14ac:dyDescent="0.25">
      <c r="A47" t="s">
        <v>72</v>
      </c>
    </row>
    <row r="48" spans="1:1" x14ac:dyDescent="0.25">
      <c r="A48" t="s">
        <v>30</v>
      </c>
    </row>
    <row r="49" spans="1:1" x14ac:dyDescent="0.25">
      <c r="A49" t="s">
        <v>1416</v>
      </c>
    </row>
    <row r="50" spans="1:1" x14ac:dyDescent="0.25">
      <c r="A50" t="s">
        <v>26</v>
      </c>
    </row>
    <row r="51" spans="1:1" x14ac:dyDescent="0.25">
      <c r="A51" t="s">
        <v>123</v>
      </c>
    </row>
    <row r="52" spans="1:1" x14ac:dyDescent="0.25">
      <c r="A52" t="s">
        <v>1404</v>
      </c>
    </row>
    <row r="53" spans="1:1" x14ac:dyDescent="0.25">
      <c r="A53" t="s">
        <v>1422</v>
      </c>
    </row>
    <row r="54" spans="1:1" x14ac:dyDescent="0.25">
      <c r="A54" t="s">
        <v>26</v>
      </c>
    </row>
    <row r="55" spans="1:1" x14ac:dyDescent="0.25">
      <c r="A55" t="s">
        <v>1427</v>
      </c>
    </row>
    <row r="56" spans="1:1" x14ac:dyDescent="0.25">
      <c r="A56" t="s">
        <v>1407</v>
      </c>
    </row>
    <row r="57" spans="1:1" x14ac:dyDescent="0.25">
      <c r="A57" t="s">
        <v>1404</v>
      </c>
    </row>
    <row r="58" spans="1:1" x14ac:dyDescent="0.25">
      <c r="A58" t="s">
        <v>1428</v>
      </c>
    </row>
    <row r="59" spans="1:1" x14ac:dyDescent="0.25">
      <c r="A59" t="s">
        <v>1429</v>
      </c>
    </row>
    <row r="60" spans="1:1" x14ac:dyDescent="0.25">
      <c r="A60" t="s">
        <v>72</v>
      </c>
    </row>
    <row r="61" spans="1:1" x14ac:dyDescent="0.25">
      <c r="A61" t="s">
        <v>1422</v>
      </c>
    </row>
    <row r="62" spans="1:1" x14ac:dyDescent="0.25">
      <c r="A62" t="s">
        <v>1426</v>
      </c>
    </row>
    <row r="63" spans="1:1" x14ac:dyDescent="0.25">
      <c r="A63" t="s">
        <v>1430</v>
      </c>
    </row>
    <row r="64" spans="1:1" x14ac:dyDescent="0.25">
      <c r="A64" t="s">
        <v>82</v>
      </c>
    </row>
    <row r="65" spans="1:1" x14ac:dyDescent="0.25">
      <c r="A65" t="s">
        <v>82</v>
      </c>
    </row>
    <row r="66" spans="1:1" x14ac:dyDescent="0.25">
      <c r="A66" t="s">
        <v>1431</v>
      </c>
    </row>
    <row r="67" spans="1:1" x14ac:dyDescent="0.25">
      <c r="A67" t="s">
        <v>1428</v>
      </c>
    </row>
    <row r="68" spans="1:1" x14ac:dyDescent="0.25">
      <c r="A68" t="s">
        <v>1432</v>
      </c>
    </row>
    <row r="69" spans="1:1" x14ac:dyDescent="0.25">
      <c r="A69" t="s">
        <v>1433</v>
      </c>
    </row>
    <row r="70" spans="1:1" x14ac:dyDescent="0.25">
      <c r="A70" t="s">
        <v>1434</v>
      </c>
    </row>
    <row r="71" spans="1:1" x14ac:dyDescent="0.25">
      <c r="A71" t="s">
        <v>72</v>
      </c>
    </row>
    <row r="72" spans="1:1" x14ac:dyDescent="0.25">
      <c r="A72" t="s">
        <v>74</v>
      </c>
    </row>
    <row r="73" spans="1:1" x14ac:dyDescent="0.25">
      <c r="A73" t="s">
        <v>589</v>
      </c>
    </row>
    <row r="74" spans="1:1" x14ac:dyDescent="0.25">
      <c r="A74" t="s">
        <v>1422</v>
      </c>
    </row>
    <row r="75" spans="1:1" x14ac:dyDescent="0.25">
      <c r="A75" t="s">
        <v>1435</v>
      </c>
    </row>
    <row r="76" spans="1:1" x14ac:dyDescent="0.25">
      <c r="A76" t="s">
        <v>78</v>
      </c>
    </row>
    <row r="77" spans="1:1" x14ac:dyDescent="0.25">
      <c r="A77" t="s">
        <v>111</v>
      </c>
    </row>
    <row r="78" spans="1:1" x14ac:dyDescent="0.25">
      <c r="A78" t="s">
        <v>1436</v>
      </c>
    </row>
    <row r="79" spans="1:1" x14ac:dyDescent="0.25">
      <c r="A79" t="s">
        <v>1408</v>
      </c>
    </row>
    <row r="80" spans="1:1" x14ac:dyDescent="0.25">
      <c r="A80" t="s">
        <v>1437</v>
      </c>
    </row>
    <row r="81" spans="1:1" x14ac:dyDescent="0.25">
      <c r="A81" t="s">
        <v>1437</v>
      </c>
    </row>
    <row r="82" spans="1:1" x14ac:dyDescent="0.25">
      <c r="A82" t="s">
        <v>26</v>
      </c>
    </row>
    <row r="83" spans="1:1" x14ac:dyDescent="0.25">
      <c r="A83" t="s">
        <v>1438</v>
      </c>
    </row>
    <row r="84" spans="1:1" x14ac:dyDescent="0.25">
      <c r="A84" t="s">
        <v>1407</v>
      </c>
    </row>
    <row r="85" spans="1:1" x14ac:dyDescent="0.25">
      <c r="A85" t="s">
        <v>123</v>
      </c>
    </row>
    <row r="86" spans="1:1" x14ac:dyDescent="0.25">
      <c r="A86" t="s">
        <v>1439</v>
      </c>
    </row>
    <row r="87" spans="1:1" x14ac:dyDescent="0.25">
      <c r="A87" t="s">
        <v>40</v>
      </c>
    </row>
    <row r="88" spans="1:1" x14ac:dyDescent="0.25">
      <c r="A88" t="s">
        <v>1416</v>
      </c>
    </row>
    <row r="89" spans="1:1" x14ac:dyDescent="0.25">
      <c r="A89" t="s">
        <v>46</v>
      </c>
    </row>
    <row r="90" spans="1:1" x14ac:dyDescent="0.25">
      <c r="A90" t="s">
        <v>26</v>
      </c>
    </row>
    <row r="91" spans="1:1" x14ac:dyDescent="0.25">
      <c r="A91" t="s">
        <v>1437</v>
      </c>
    </row>
    <row r="92" spans="1:1" x14ac:dyDescent="0.25">
      <c r="A92" t="s">
        <v>1440</v>
      </c>
    </row>
    <row r="93" spans="1:1" x14ac:dyDescent="0.25">
      <c r="A93" t="s">
        <v>1441</v>
      </c>
    </row>
    <row r="94" spans="1:1" x14ac:dyDescent="0.25">
      <c r="A94" t="s">
        <v>1442</v>
      </c>
    </row>
    <row r="95" spans="1:1" x14ac:dyDescent="0.25">
      <c r="A95" t="s">
        <v>1443</v>
      </c>
    </row>
    <row r="96" spans="1:1" x14ac:dyDescent="0.25">
      <c r="A96" t="s">
        <v>1444</v>
      </c>
    </row>
    <row r="97" spans="1:1" x14ac:dyDescent="0.25">
      <c r="A97" t="s">
        <v>96</v>
      </c>
    </row>
    <row r="98" spans="1:1" x14ac:dyDescent="0.25">
      <c r="A98" t="s">
        <v>1445</v>
      </c>
    </row>
    <row r="99" spans="1:1" x14ac:dyDescent="0.25">
      <c r="A99" t="s">
        <v>1446</v>
      </c>
    </row>
    <row r="100" spans="1:1" x14ac:dyDescent="0.25">
      <c r="A100" t="s">
        <v>53</v>
      </c>
    </row>
    <row r="101" spans="1:1" x14ac:dyDescent="0.25">
      <c r="A101" t="s">
        <v>1408</v>
      </c>
    </row>
    <row r="102" spans="1:1" x14ac:dyDescent="0.25">
      <c r="A102" t="s">
        <v>1408</v>
      </c>
    </row>
    <row r="103" spans="1:1" x14ac:dyDescent="0.25">
      <c r="A103" t="s">
        <v>1447</v>
      </c>
    </row>
    <row r="104" spans="1:1" x14ac:dyDescent="0.25">
      <c r="A104" t="s">
        <v>148</v>
      </c>
    </row>
    <row r="105" spans="1:1" x14ac:dyDescent="0.25">
      <c r="A105" t="s">
        <v>994</v>
      </c>
    </row>
    <row r="106" spans="1:1" x14ac:dyDescent="0.25">
      <c r="A106" t="s">
        <v>78</v>
      </c>
    </row>
    <row r="107" spans="1:1" x14ac:dyDescent="0.25">
      <c r="A107" t="s">
        <v>1437</v>
      </c>
    </row>
    <row r="108" spans="1:1" x14ac:dyDescent="0.25">
      <c r="A108" t="s">
        <v>192</v>
      </c>
    </row>
    <row r="109" spans="1:1" x14ac:dyDescent="0.25">
      <c r="A109" t="s">
        <v>1408</v>
      </c>
    </row>
    <row r="110" spans="1:1" x14ac:dyDescent="0.25">
      <c r="A110" t="s">
        <v>1448</v>
      </c>
    </row>
    <row r="111" spans="1:1" x14ac:dyDescent="0.25">
      <c r="A111" t="s">
        <v>1404</v>
      </c>
    </row>
    <row r="112" spans="1:1" x14ac:dyDescent="0.25">
      <c r="A112" t="s">
        <v>1018</v>
      </c>
    </row>
    <row r="113" spans="1:1" x14ac:dyDescent="0.25">
      <c r="A113" t="s">
        <v>1416</v>
      </c>
    </row>
    <row r="114" spans="1:1" x14ac:dyDescent="0.25">
      <c r="A114" t="s">
        <v>78</v>
      </c>
    </row>
    <row r="115" spans="1:1" x14ac:dyDescent="0.25">
      <c r="A115" t="s">
        <v>1449</v>
      </c>
    </row>
    <row r="116" spans="1:1" x14ac:dyDescent="0.25">
      <c r="A116" t="s">
        <v>1404</v>
      </c>
    </row>
    <row r="117" spans="1:1" x14ac:dyDescent="0.25">
      <c r="A117" t="s">
        <v>295</v>
      </c>
    </row>
    <row r="118" spans="1:1" x14ac:dyDescent="0.25">
      <c r="A118" t="s">
        <v>82</v>
      </c>
    </row>
    <row r="119" spans="1:1" x14ac:dyDescent="0.25">
      <c r="A119" t="s">
        <v>1450</v>
      </c>
    </row>
    <row r="120" spans="1:1" x14ac:dyDescent="0.25">
      <c r="A120" t="s">
        <v>1408</v>
      </c>
    </row>
    <row r="121" spans="1:1" x14ac:dyDescent="0.25">
      <c r="A121" t="s">
        <v>1451</v>
      </c>
    </row>
    <row r="122" spans="1:1" x14ac:dyDescent="0.25">
      <c r="A122" t="s">
        <v>1416</v>
      </c>
    </row>
    <row r="123" spans="1:1" x14ac:dyDescent="0.25">
      <c r="A123" t="s">
        <v>46</v>
      </c>
    </row>
    <row r="124" spans="1:1" x14ac:dyDescent="0.25">
      <c r="A124" t="s">
        <v>1452</v>
      </c>
    </row>
    <row r="125" spans="1:1" x14ac:dyDescent="0.25">
      <c r="A125" t="s">
        <v>1422</v>
      </c>
    </row>
    <row r="126" spans="1:1" x14ac:dyDescent="0.25">
      <c r="A126" t="s">
        <v>1453</v>
      </c>
    </row>
    <row r="127" spans="1:1" x14ac:dyDescent="0.25">
      <c r="A127" t="s">
        <v>1428</v>
      </c>
    </row>
    <row r="128" spans="1:1" x14ac:dyDescent="0.25">
      <c r="A128" t="s">
        <v>1422</v>
      </c>
    </row>
    <row r="129" spans="1:1" x14ac:dyDescent="0.25">
      <c r="A129" t="s">
        <v>1422</v>
      </c>
    </row>
    <row r="130" spans="1:1" x14ac:dyDescent="0.25">
      <c r="A130" t="s">
        <v>1438</v>
      </c>
    </row>
    <row r="131" spans="1:1" x14ac:dyDescent="0.25">
      <c r="A131" t="s">
        <v>82</v>
      </c>
    </row>
    <row r="132" spans="1:1" x14ac:dyDescent="0.25">
      <c r="A132" t="s">
        <v>118</v>
      </c>
    </row>
    <row r="133" spans="1:1" x14ac:dyDescent="0.25">
      <c r="A133" t="s">
        <v>53</v>
      </c>
    </row>
    <row r="134" spans="1:1" x14ac:dyDescent="0.25">
      <c r="A134" t="s">
        <v>1454</v>
      </c>
    </row>
    <row r="135" spans="1:1" x14ac:dyDescent="0.25">
      <c r="A135" t="s">
        <v>1455</v>
      </c>
    </row>
    <row r="136" spans="1:1" x14ac:dyDescent="0.25">
      <c r="A136" t="s">
        <v>1456</v>
      </c>
    </row>
    <row r="137" spans="1:1" x14ac:dyDescent="0.25">
      <c r="A137" t="s">
        <v>72</v>
      </c>
    </row>
    <row r="138" spans="1:1" x14ac:dyDescent="0.25">
      <c r="A138" t="s">
        <v>26</v>
      </c>
    </row>
    <row r="139" spans="1:1" x14ac:dyDescent="0.25">
      <c r="A139" t="s">
        <v>1422</v>
      </c>
    </row>
    <row r="140" spans="1:1" x14ac:dyDescent="0.25">
      <c r="A140" t="s">
        <v>1404</v>
      </c>
    </row>
    <row r="141" spans="1:1" x14ac:dyDescent="0.25">
      <c r="A141" t="s">
        <v>1457</v>
      </c>
    </row>
    <row r="142" spans="1:1" x14ac:dyDescent="0.25">
      <c r="A142" t="s">
        <v>123</v>
      </c>
    </row>
    <row r="143" spans="1:1" x14ac:dyDescent="0.25">
      <c r="A143" t="s">
        <v>1438</v>
      </c>
    </row>
    <row r="144" spans="1:1" x14ac:dyDescent="0.25">
      <c r="A144" t="s">
        <v>1458</v>
      </c>
    </row>
    <row r="145" spans="1:2" x14ac:dyDescent="0.25">
      <c r="A145" t="s">
        <v>111</v>
      </c>
    </row>
    <row r="146" spans="1:2" x14ac:dyDescent="0.25">
      <c r="A146" t="s">
        <v>96</v>
      </c>
    </row>
    <row r="147" spans="1:2" x14ac:dyDescent="0.25">
      <c r="A147" t="s">
        <v>26</v>
      </c>
    </row>
    <row r="148" spans="1:2" x14ac:dyDescent="0.25">
      <c r="A148" t="s">
        <v>1408</v>
      </c>
    </row>
    <row r="149" spans="1:2" x14ac:dyDescent="0.25">
      <c r="A149" t="s">
        <v>46</v>
      </c>
    </row>
    <row r="150" spans="1:2" x14ac:dyDescent="0.25">
      <c r="A150" t="s">
        <v>47</v>
      </c>
    </row>
    <row r="151" spans="1:2" x14ac:dyDescent="0.25">
      <c r="A151" t="s">
        <v>1459</v>
      </c>
    </row>
    <row r="152" spans="1:2" x14ac:dyDescent="0.25">
      <c r="A152" t="s">
        <v>1408</v>
      </c>
      <c r="B152" t="s">
        <v>1460</v>
      </c>
    </row>
    <row r="153" spans="1:2" x14ac:dyDescent="0.25">
      <c r="A153" t="s">
        <v>1416</v>
      </c>
    </row>
    <row r="154" spans="1:2" x14ac:dyDescent="0.25">
      <c r="A154" t="s">
        <v>72</v>
      </c>
    </row>
    <row r="155" spans="1:2" x14ac:dyDescent="0.25">
      <c r="A155" t="s">
        <v>1404</v>
      </c>
    </row>
    <row r="156" spans="1:2" x14ac:dyDescent="0.25">
      <c r="A156" t="s">
        <v>72</v>
      </c>
    </row>
    <row r="157" spans="1:2" x14ac:dyDescent="0.25">
      <c r="A157" t="s">
        <v>1422</v>
      </c>
    </row>
    <row r="158" spans="1:2" x14ac:dyDescent="0.25">
      <c r="A158" t="s">
        <v>1461</v>
      </c>
    </row>
    <row r="159" spans="1:2" x14ac:dyDescent="0.25">
      <c r="A159" t="s">
        <v>1020</v>
      </c>
    </row>
    <row r="160" spans="1:2" x14ac:dyDescent="0.25">
      <c r="A160" t="s">
        <v>1404</v>
      </c>
    </row>
    <row r="161" spans="1:1" x14ac:dyDescent="0.25">
      <c r="A161" t="s">
        <v>1462</v>
      </c>
    </row>
    <row r="162" spans="1:1" x14ac:dyDescent="0.25">
      <c r="A162" t="s">
        <v>1408</v>
      </c>
    </row>
    <row r="163" spans="1:1" x14ac:dyDescent="0.25">
      <c r="A163" t="s">
        <v>26</v>
      </c>
    </row>
    <row r="164" spans="1:1" x14ac:dyDescent="0.25">
      <c r="A164" t="s">
        <v>1463</v>
      </c>
    </row>
    <row r="165" spans="1:1" x14ac:dyDescent="0.25">
      <c r="A165" t="s">
        <v>46</v>
      </c>
    </row>
    <row r="166" spans="1:1" x14ac:dyDescent="0.25">
      <c r="A166" t="s">
        <v>1464</v>
      </c>
    </row>
    <row r="167" spans="1:1" x14ac:dyDescent="0.25">
      <c r="A167" t="s">
        <v>78</v>
      </c>
    </row>
    <row r="168" spans="1:1" x14ac:dyDescent="0.25">
      <c r="A168" t="s">
        <v>1422</v>
      </c>
    </row>
    <row r="169" spans="1:1" x14ac:dyDescent="0.25">
      <c r="A169" t="s">
        <v>111</v>
      </c>
    </row>
    <row r="170" spans="1:1" x14ac:dyDescent="0.25">
      <c r="A170" t="s">
        <v>1407</v>
      </c>
    </row>
    <row r="171" spans="1:1" x14ac:dyDescent="0.25">
      <c r="A171" t="s">
        <v>96</v>
      </c>
    </row>
    <row r="172" spans="1:1" x14ac:dyDescent="0.25">
      <c r="A172" t="s">
        <v>1465</v>
      </c>
    </row>
    <row r="173" spans="1:1" x14ac:dyDescent="0.25">
      <c r="A173" t="s">
        <v>26</v>
      </c>
    </row>
    <row r="174" spans="1:1" x14ac:dyDescent="0.25">
      <c r="A174" t="s">
        <v>72</v>
      </c>
    </row>
    <row r="175" spans="1:1" x14ac:dyDescent="0.25">
      <c r="A175" t="s">
        <v>111</v>
      </c>
    </row>
    <row r="176" spans="1:1" x14ac:dyDescent="0.25">
      <c r="A176" t="s">
        <v>663</v>
      </c>
    </row>
    <row r="177" spans="1:1" x14ac:dyDescent="0.25">
      <c r="A177" t="s">
        <v>1466</v>
      </c>
    </row>
    <row r="178" spans="1:1" x14ac:dyDescent="0.25">
      <c r="A178" t="s">
        <v>78</v>
      </c>
    </row>
    <row r="179" spans="1:1" x14ac:dyDescent="0.25">
      <c r="A179" t="s">
        <v>1422</v>
      </c>
    </row>
    <row r="180" spans="1:1" x14ac:dyDescent="0.25">
      <c r="A180" t="s">
        <v>78</v>
      </c>
    </row>
    <row r="181" spans="1:1" x14ac:dyDescent="0.25">
      <c r="A181" t="s">
        <v>1467</v>
      </c>
    </row>
    <row r="182" spans="1:1" x14ac:dyDescent="0.25">
      <c r="A182" t="s">
        <v>1438</v>
      </c>
    </row>
    <row r="183" spans="1:1" x14ac:dyDescent="0.25">
      <c r="A183" t="s">
        <v>1407</v>
      </c>
    </row>
    <row r="184" spans="1:1" x14ac:dyDescent="0.25">
      <c r="A184" t="s">
        <v>111</v>
      </c>
    </row>
    <row r="185" spans="1:1" x14ac:dyDescent="0.25">
      <c r="A185" t="s">
        <v>1407</v>
      </c>
    </row>
    <row r="186" spans="1:1" x14ac:dyDescent="0.25">
      <c r="A186" t="s">
        <v>1468</v>
      </c>
    </row>
    <row r="187" spans="1:1" x14ac:dyDescent="0.25">
      <c r="A187" t="s">
        <v>158</v>
      </c>
    </row>
    <row r="188" spans="1:1" x14ac:dyDescent="0.25">
      <c r="A188" t="s">
        <v>46</v>
      </c>
    </row>
    <row r="189" spans="1:1" x14ac:dyDescent="0.25">
      <c r="A189" t="s">
        <v>1469</v>
      </c>
    </row>
    <row r="190" spans="1:1" x14ac:dyDescent="0.25">
      <c r="A190" t="s">
        <v>1470</v>
      </c>
    </row>
    <row r="191" spans="1:1" x14ac:dyDescent="0.25">
      <c r="A191" t="s">
        <v>1471</v>
      </c>
    </row>
    <row r="192" spans="1:1" x14ac:dyDescent="0.25">
      <c r="A192" t="s">
        <v>111</v>
      </c>
    </row>
    <row r="193" spans="1:1" x14ac:dyDescent="0.25">
      <c r="A193" t="s">
        <v>1472</v>
      </c>
    </row>
    <row r="194" spans="1:1" x14ac:dyDescent="0.25">
      <c r="A194" t="s">
        <v>1473</v>
      </c>
    </row>
    <row r="195" spans="1:1" x14ac:dyDescent="0.25">
      <c r="A195" t="s">
        <v>1474</v>
      </c>
    </row>
    <row r="196" spans="1:1" x14ac:dyDescent="0.25">
      <c r="A196" t="s">
        <v>1475</v>
      </c>
    </row>
    <row r="197" spans="1:1" x14ac:dyDescent="0.25">
      <c r="A197" t="s">
        <v>1422</v>
      </c>
    </row>
    <row r="198" spans="1:1" x14ac:dyDescent="0.25">
      <c r="A198" t="s">
        <v>1411</v>
      </c>
    </row>
    <row r="199" spans="1:1" x14ac:dyDescent="0.25">
      <c r="A199" t="s">
        <v>1476</v>
      </c>
    </row>
    <row r="200" spans="1:1" x14ac:dyDescent="0.25">
      <c r="A200" t="s">
        <v>1442</v>
      </c>
    </row>
    <row r="201" spans="1:1" x14ac:dyDescent="0.25">
      <c r="A201" t="s">
        <v>1477</v>
      </c>
    </row>
    <row r="202" spans="1:1" x14ac:dyDescent="0.25">
      <c r="A202" t="s">
        <v>1416</v>
      </c>
    </row>
    <row r="203" spans="1:1" x14ac:dyDescent="0.25">
      <c r="A203" t="s">
        <v>1474</v>
      </c>
    </row>
    <row r="204" spans="1:1" x14ac:dyDescent="0.25">
      <c r="A204" t="s">
        <v>1478</v>
      </c>
    </row>
    <row r="205" spans="1:1" x14ac:dyDescent="0.25">
      <c r="A205" t="s">
        <v>1479</v>
      </c>
    </row>
    <row r="206" spans="1:1" x14ac:dyDescent="0.25">
      <c r="A206" t="s">
        <v>1408</v>
      </c>
    </row>
    <row r="207" spans="1:1" x14ac:dyDescent="0.25">
      <c r="A207" t="s">
        <v>631</v>
      </c>
    </row>
    <row r="208" spans="1:1" x14ac:dyDescent="0.25">
      <c r="A208" t="s">
        <v>1480</v>
      </c>
    </row>
    <row r="209" spans="1:2" x14ac:dyDescent="0.25">
      <c r="A209" t="s">
        <v>1481</v>
      </c>
    </row>
    <row r="210" spans="1:2" x14ac:dyDescent="0.25">
      <c r="A210" t="s">
        <v>582</v>
      </c>
    </row>
    <row r="211" spans="1:2" x14ac:dyDescent="0.25">
      <c r="A211" t="s">
        <v>1482</v>
      </c>
      <c r="B211" t="s">
        <v>1483</v>
      </c>
    </row>
    <row r="212" spans="1:2" x14ac:dyDescent="0.25">
      <c r="A212" t="s">
        <v>1418</v>
      </c>
    </row>
    <row r="213" spans="1:2" x14ac:dyDescent="0.25">
      <c r="A213" t="s">
        <v>1478</v>
      </c>
    </row>
    <row r="214" spans="1:2" x14ac:dyDescent="0.25">
      <c r="A214" t="s">
        <v>1484</v>
      </c>
    </row>
    <row r="215" spans="1:2" x14ac:dyDescent="0.25">
      <c r="A215" t="s">
        <v>1415</v>
      </c>
    </row>
    <row r="216" spans="1:2" x14ac:dyDescent="0.25">
      <c r="A216" t="s">
        <v>1416</v>
      </c>
    </row>
    <row r="217" spans="1:2" x14ac:dyDescent="0.25">
      <c r="A217" t="s">
        <v>1404</v>
      </c>
    </row>
    <row r="218" spans="1:2" x14ac:dyDescent="0.25">
      <c r="A218" t="s">
        <v>1422</v>
      </c>
    </row>
    <row r="219" spans="1:2" x14ac:dyDescent="0.25">
      <c r="A219" t="s">
        <v>26</v>
      </c>
    </row>
    <row r="220" spans="1:2" x14ac:dyDescent="0.25">
      <c r="A220" t="s">
        <v>1416</v>
      </c>
    </row>
    <row r="221" spans="1:2" x14ac:dyDescent="0.25">
      <c r="A221" t="s">
        <v>1457</v>
      </c>
    </row>
    <row r="222" spans="1:2" x14ac:dyDescent="0.25">
      <c r="A222" t="s">
        <v>1485</v>
      </c>
    </row>
    <row r="223" spans="1:2" x14ac:dyDescent="0.25">
      <c r="A223" t="s">
        <v>1428</v>
      </c>
    </row>
    <row r="224" spans="1:2" x14ac:dyDescent="0.25">
      <c r="A224" t="s">
        <v>1486</v>
      </c>
    </row>
    <row r="225" spans="1:1" x14ac:dyDescent="0.25">
      <c r="A225" t="s">
        <v>121</v>
      </c>
    </row>
    <row r="226" spans="1:1" x14ac:dyDescent="0.25">
      <c r="A226" t="s">
        <v>1422</v>
      </c>
    </row>
    <row r="227" spans="1:1" x14ac:dyDescent="0.25">
      <c r="A227" t="s">
        <v>46</v>
      </c>
    </row>
    <row r="228" spans="1:1" x14ac:dyDescent="0.25">
      <c r="A228" t="s">
        <v>1422</v>
      </c>
    </row>
    <row r="229" spans="1:1" x14ac:dyDescent="0.25">
      <c r="A229" t="s">
        <v>47</v>
      </c>
    </row>
    <row r="230" spans="1:1" x14ac:dyDescent="0.25">
      <c r="A230" t="s">
        <v>1487</v>
      </c>
    </row>
    <row r="231" spans="1:1" x14ac:dyDescent="0.25">
      <c r="A231" t="s">
        <v>1488</v>
      </c>
    </row>
    <row r="232" spans="1:1" x14ac:dyDescent="0.25">
      <c r="A232" t="s">
        <v>26</v>
      </c>
    </row>
    <row r="233" spans="1:1" x14ac:dyDescent="0.25">
      <c r="A233" t="s">
        <v>1437</v>
      </c>
    </row>
    <row r="234" spans="1:1" x14ac:dyDescent="0.25">
      <c r="A234" t="s">
        <v>47</v>
      </c>
    </row>
    <row r="235" spans="1:1" x14ac:dyDescent="0.25">
      <c r="A235" t="s">
        <v>72</v>
      </c>
    </row>
    <row r="236" spans="1:1" x14ac:dyDescent="0.25">
      <c r="A236" t="s">
        <v>1489</v>
      </c>
    </row>
    <row r="237" spans="1:1" x14ac:dyDescent="0.25">
      <c r="A237" t="s">
        <v>1490</v>
      </c>
    </row>
    <row r="238" spans="1:1" x14ac:dyDescent="0.25">
      <c r="A238" t="s">
        <v>72</v>
      </c>
    </row>
    <row r="239" spans="1:1" x14ac:dyDescent="0.25">
      <c r="A239" t="s">
        <v>1422</v>
      </c>
    </row>
    <row r="240" spans="1:1" x14ac:dyDescent="0.25">
      <c r="A240" t="s">
        <v>53</v>
      </c>
    </row>
    <row r="241" spans="1:1" x14ac:dyDescent="0.25">
      <c r="A241" t="s">
        <v>47</v>
      </c>
    </row>
    <row r="242" spans="1:1" x14ac:dyDescent="0.25">
      <c r="A242" t="s">
        <v>1407</v>
      </c>
    </row>
    <row r="243" spans="1:1" x14ac:dyDescent="0.25">
      <c r="A243" t="s">
        <v>665</v>
      </c>
    </row>
    <row r="244" spans="1:1" x14ac:dyDescent="0.25">
      <c r="A244" t="s">
        <v>1470</v>
      </c>
    </row>
    <row r="245" spans="1:1" x14ac:dyDescent="0.25">
      <c r="A245" t="s">
        <v>1491</v>
      </c>
    </row>
    <row r="246" spans="1:1" x14ac:dyDescent="0.25">
      <c r="A246" t="s">
        <v>1492</v>
      </c>
    </row>
    <row r="247" spans="1:1" x14ac:dyDescent="0.25">
      <c r="A247" t="s">
        <v>1422</v>
      </c>
    </row>
    <row r="248" spans="1:1" x14ac:dyDescent="0.25">
      <c r="A248" t="s">
        <v>1416</v>
      </c>
    </row>
    <row r="249" spans="1:1" x14ac:dyDescent="0.25">
      <c r="A249" t="s">
        <v>1493</v>
      </c>
    </row>
    <row r="250" spans="1:1" x14ac:dyDescent="0.25">
      <c r="A250" t="s">
        <v>1407</v>
      </c>
    </row>
    <row r="251" spans="1:1" x14ac:dyDescent="0.25">
      <c r="A251" t="s">
        <v>1404</v>
      </c>
    </row>
    <row r="252" spans="1:1" x14ac:dyDescent="0.25">
      <c r="A252" t="s">
        <v>1407</v>
      </c>
    </row>
    <row r="253" spans="1:1" x14ac:dyDescent="0.25">
      <c r="A253" t="s">
        <v>1494</v>
      </c>
    </row>
    <row r="254" spans="1:1" x14ac:dyDescent="0.25">
      <c r="A254" t="s">
        <v>1495</v>
      </c>
    </row>
    <row r="255" spans="1:1" x14ac:dyDescent="0.25">
      <c r="A255" t="s">
        <v>1496</v>
      </c>
    </row>
    <row r="256" spans="1:1" x14ac:dyDescent="0.25">
      <c r="A256" t="s">
        <v>196</v>
      </c>
    </row>
    <row r="257" spans="1:2" x14ac:dyDescent="0.25">
      <c r="A257" t="s">
        <v>1497</v>
      </c>
    </row>
    <row r="258" spans="1:2" x14ac:dyDescent="0.25">
      <c r="A258" t="s">
        <v>46</v>
      </c>
    </row>
    <row r="259" spans="1:2" x14ac:dyDescent="0.25">
      <c r="A259" t="s">
        <v>1408</v>
      </c>
    </row>
    <row r="260" spans="1:2" x14ac:dyDescent="0.25">
      <c r="A260" t="s">
        <v>1498</v>
      </c>
    </row>
    <row r="261" spans="1:2" x14ac:dyDescent="0.25">
      <c r="A261" t="s">
        <v>1499</v>
      </c>
    </row>
    <row r="262" spans="1:2" x14ac:dyDescent="0.25">
      <c r="A262" t="s">
        <v>1500</v>
      </c>
    </row>
    <row r="263" spans="1:2" x14ac:dyDescent="0.25">
      <c r="A263" t="s">
        <v>1501</v>
      </c>
    </row>
    <row r="264" spans="1:2" x14ac:dyDescent="0.25">
      <c r="A264" t="s">
        <v>1502</v>
      </c>
      <c r="B264" t="s">
        <v>1503</v>
      </c>
    </row>
    <row r="265" spans="1:2" x14ac:dyDescent="0.25">
      <c r="A265" t="s">
        <v>1504</v>
      </c>
    </row>
    <row r="266" spans="1:2" x14ac:dyDescent="0.25">
      <c r="A266" t="s">
        <v>1438</v>
      </c>
    </row>
    <row r="267" spans="1:2" x14ac:dyDescent="0.25">
      <c r="A267" t="s">
        <v>1505</v>
      </c>
    </row>
    <row r="268" spans="1:2" x14ac:dyDescent="0.25">
      <c r="A268" t="s">
        <v>1506</v>
      </c>
    </row>
    <row r="269" spans="1:2" x14ac:dyDescent="0.25">
      <c r="A269" t="s">
        <v>1422</v>
      </c>
    </row>
    <row r="270" spans="1:2" x14ac:dyDescent="0.25">
      <c r="A270" t="s">
        <v>96</v>
      </c>
    </row>
    <row r="271" spans="1:2" x14ac:dyDescent="0.25">
      <c r="A271" t="s">
        <v>1407</v>
      </c>
    </row>
    <row r="272" spans="1:2" x14ac:dyDescent="0.25">
      <c r="A272" t="s">
        <v>96</v>
      </c>
    </row>
    <row r="273" spans="1:1" x14ac:dyDescent="0.25">
      <c r="A273" t="s">
        <v>1404</v>
      </c>
    </row>
    <row r="274" spans="1:1" x14ac:dyDescent="0.25">
      <c r="A274" t="s">
        <v>1438</v>
      </c>
    </row>
    <row r="275" spans="1:1" x14ac:dyDescent="0.25">
      <c r="A275" t="s">
        <v>1413</v>
      </c>
    </row>
    <row r="276" spans="1:1" x14ac:dyDescent="0.25">
      <c r="A276" t="s">
        <v>184</v>
      </c>
    </row>
    <row r="277" spans="1:1" x14ac:dyDescent="0.25">
      <c r="A277" t="s">
        <v>198</v>
      </c>
    </row>
    <row r="278" spans="1:1" x14ac:dyDescent="0.25">
      <c r="A278" t="s">
        <v>78</v>
      </c>
    </row>
    <row r="279" spans="1:1" x14ac:dyDescent="0.25">
      <c r="A279" t="s">
        <v>1408</v>
      </c>
    </row>
    <row r="280" spans="1:1" x14ac:dyDescent="0.25">
      <c r="A280" t="s">
        <v>1507</v>
      </c>
    </row>
    <row r="281" spans="1:1" x14ac:dyDescent="0.25">
      <c r="A281" t="s">
        <v>1428</v>
      </c>
    </row>
    <row r="282" spans="1:1" x14ac:dyDescent="0.25">
      <c r="A282" t="s">
        <v>111</v>
      </c>
    </row>
    <row r="283" spans="1:1" x14ac:dyDescent="0.25">
      <c r="A283" t="s">
        <v>1438</v>
      </c>
    </row>
    <row r="284" spans="1:1" x14ac:dyDescent="0.25">
      <c r="A284" t="s">
        <v>72</v>
      </c>
    </row>
    <row r="285" spans="1:1" x14ac:dyDescent="0.25">
      <c r="A285" t="s">
        <v>78</v>
      </c>
    </row>
    <row r="286" spans="1:1" x14ac:dyDescent="0.25">
      <c r="A286" t="s">
        <v>1508</v>
      </c>
    </row>
    <row r="287" spans="1:1" x14ac:dyDescent="0.25">
      <c r="A287" t="s">
        <v>26</v>
      </c>
    </row>
    <row r="288" spans="1:1" x14ac:dyDescent="0.25">
      <c r="A288" t="s">
        <v>1404</v>
      </c>
    </row>
    <row r="289" spans="1:4" x14ac:dyDescent="0.25">
      <c r="A289" t="s">
        <v>40</v>
      </c>
    </row>
    <row r="290" spans="1:4" x14ac:dyDescent="0.25">
      <c r="A290" t="s">
        <v>1509</v>
      </c>
    </row>
    <row r="291" spans="1:4" x14ac:dyDescent="0.25">
      <c r="A291" t="s">
        <v>72</v>
      </c>
    </row>
    <row r="292" spans="1:4" x14ac:dyDescent="0.25">
      <c r="A292" t="s">
        <v>1510</v>
      </c>
      <c r="B292" t="s">
        <v>1511</v>
      </c>
    </row>
    <row r="293" spans="1:4" x14ac:dyDescent="0.25">
      <c r="A293" t="s">
        <v>78</v>
      </c>
    </row>
    <row r="294" spans="1:4" x14ac:dyDescent="0.25">
      <c r="A294" t="s">
        <v>1426</v>
      </c>
    </row>
    <row r="295" spans="1:4" x14ac:dyDescent="0.25">
      <c r="A295" t="s">
        <v>1512</v>
      </c>
    </row>
    <row r="296" spans="1:4" x14ac:dyDescent="0.25">
      <c r="A296" t="s">
        <v>1513</v>
      </c>
    </row>
    <row r="297" spans="1:4" x14ac:dyDescent="0.25">
      <c r="A297" t="s">
        <v>26</v>
      </c>
    </row>
    <row r="298" spans="1:4" x14ac:dyDescent="0.25">
      <c r="A298" t="s">
        <v>1404</v>
      </c>
    </row>
    <row r="299" spans="1:4" x14ac:dyDescent="0.25">
      <c r="A299" t="s">
        <v>1514</v>
      </c>
    </row>
    <row r="300" spans="1:4" x14ac:dyDescent="0.25">
      <c r="A300" t="s">
        <v>1407</v>
      </c>
      <c r="B300" t="s">
        <v>1457</v>
      </c>
      <c r="C300" t="s">
        <v>1515</v>
      </c>
      <c r="D300" t="s">
        <v>1516</v>
      </c>
    </row>
    <row r="301" spans="1:4" x14ac:dyDescent="0.25">
      <c r="A301" t="s">
        <v>1517</v>
      </c>
    </row>
    <row r="302" spans="1:4" x14ac:dyDescent="0.25">
      <c r="A302" t="s">
        <v>1437</v>
      </c>
    </row>
    <row r="303" spans="1:4" x14ac:dyDescent="0.25">
      <c r="A303" t="s">
        <v>111</v>
      </c>
    </row>
    <row r="304" spans="1:4" x14ac:dyDescent="0.25">
      <c r="A304" t="s">
        <v>1518</v>
      </c>
    </row>
    <row r="305" spans="1:1" x14ac:dyDescent="0.25">
      <c r="A305" t="s">
        <v>1519</v>
      </c>
    </row>
    <row r="306" spans="1:1" x14ac:dyDescent="0.25">
      <c r="A306" t="s">
        <v>1520</v>
      </c>
    </row>
    <row r="307" spans="1:1" x14ac:dyDescent="0.25">
      <c r="A307" t="s">
        <v>1521</v>
      </c>
    </row>
    <row r="308" spans="1:1" x14ac:dyDescent="0.25">
      <c r="A308" t="s">
        <v>1416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535"/>
  <sheetViews>
    <sheetView workbookViewId="0"/>
  </sheetViews>
  <sheetFormatPr defaultRowHeight="15" x14ac:dyDescent="0.25"/>
  <cols>
    <col min="1" max="3" width="30.7109375" customWidth="1"/>
  </cols>
  <sheetData>
    <row r="1" spans="1:2" s="3" customFormat="1" x14ac:dyDescent="0.25">
      <c r="A1" s="9" t="str">
        <f>HYPERLINK("#Tabulka!A156","Jaký máte pocit z této osobnosti?")</f>
        <v>Jaký máte pocit z této osobnosti?</v>
      </c>
    </row>
    <row r="2" spans="1:2" x14ac:dyDescent="0.25">
      <c r="A2" t="s">
        <v>203</v>
      </c>
      <c r="B2" t="s">
        <v>214</v>
      </c>
    </row>
    <row r="3" spans="1:2" x14ac:dyDescent="0.25">
      <c r="A3" t="s">
        <v>203</v>
      </c>
      <c r="B3" t="s">
        <v>1522</v>
      </c>
    </row>
    <row r="4" spans="1:2" x14ac:dyDescent="0.25">
      <c r="A4" t="s">
        <v>203</v>
      </c>
      <c r="B4" t="s">
        <v>74</v>
      </c>
    </row>
    <row r="5" spans="1:2" x14ac:dyDescent="0.25">
      <c r="A5" t="s">
        <v>201</v>
      </c>
      <c r="B5" t="s">
        <v>1523</v>
      </c>
    </row>
    <row r="6" spans="1:2" x14ac:dyDescent="0.25">
      <c r="A6" t="s">
        <v>201</v>
      </c>
      <c r="B6" t="s">
        <v>1524</v>
      </c>
    </row>
    <row r="7" spans="1:2" x14ac:dyDescent="0.25">
      <c r="A7" t="s">
        <v>203</v>
      </c>
      <c r="B7" t="s">
        <v>1525</v>
      </c>
    </row>
    <row r="8" spans="1:2" x14ac:dyDescent="0.25">
      <c r="A8" t="s">
        <v>203</v>
      </c>
      <c r="B8" t="s">
        <v>74</v>
      </c>
    </row>
    <row r="9" spans="1:2" x14ac:dyDescent="0.25">
      <c r="A9" t="s">
        <v>201</v>
      </c>
      <c r="B9" t="s">
        <v>1526</v>
      </c>
    </row>
    <row r="10" spans="1:2" x14ac:dyDescent="0.25">
      <c r="A10" t="s">
        <v>203</v>
      </c>
      <c r="B10" t="s">
        <v>74</v>
      </c>
    </row>
    <row r="11" spans="1:2" x14ac:dyDescent="0.25">
      <c r="A11" t="s">
        <v>208</v>
      </c>
      <c r="B11" t="s">
        <v>1322</v>
      </c>
    </row>
    <row r="12" spans="1:2" x14ac:dyDescent="0.25">
      <c r="A12" t="s">
        <v>201</v>
      </c>
      <c r="B12" t="s">
        <v>1408</v>
      </c>
    </row>
    <row r="13" spans="1:2" x14ac:dyDescent="0.25">
      <c r="A13" t="s">
        <v>226</v>
      </c>
      <c r="B13" t="s">
        <v>1527</v>
      </c>
    </row>
    <row r="14" spans="1:2" x14ac:dyDescent="0.25">
      <c r="A14" t="s">
        <v>221</v>
      </c>
      <c r="B14" t="s">
        <v>375</v>
      </c>
    </row>
    <row r="15" spans="1:2" x14ac:dyDescent="0.25">
      <c r="A15" t="s">
        <v>203</v>
      </c>
      <c r="B15" t="s">
        <v>1528</v>
      </c>
    </row>
    <row r="16" spans="1:2" x14ac:dyDescent="0.25">
      <c r="A16" t="s">
        <v>203</v>
      </c>
      <c r="B16" t="s">
        <v>53</v>
      </c>
    </row>
    <row r="17" spans="1:2" x14ac:dyDescent="0.25">
      <c r="A17" t="s">
        <v>221</v>
      </c>
      <c r="B17" t="s">
        <v>974</v>
      </c>
    </row>
    <row r="18" spans="1:2" x14ac:dyDescent="0.25">
      <c r="A18" t="s">
        <v>203</v>
      </c>
      <c r="B18" t="s">
        <v>213</v>
      </c>
    </row>
    <row r="19" spans="1:2" x14ac:dyDescent="0.25">
      <c r="A19" t="s">
        <v>201</v>
      </c>
      <c r="B19" t="s">
        <v>1298</v>
      </c>
    </row>
    <row r="20" spans="1:2" x14ac:dyDescent="0.25">
      <c r="A20" t="s">
        <v>201</v>
      </c>
      <c r="B20" t="s">
        <v>212</v>
      </c>
    </row>
    <row r="21" spans="1:2" x14ac:dyDescent="0.25">
      <c r="A21" t="s">
        <v>201</v>
      </c>
      <c r="B21" t="s">
        <v>1529</v>
      </c>
    </row>
    <row r="22" spans="1:2" x14ac:dyDescent="0.25">
      <c r="A22" t="s">
        <v>201</v>
      </c>
      <c r="B22" t="s">
        <v>1530</v>
      </c>
    </row>
    <row r="23" spans="1:2" x14ac:dyDescent="0.25">
      <c r="A23" t="s">
        <v>221</v>
      </c>
      <c r="B23" t="s">
        <v>375</v>
      </c>
    </row>
    <row r="24" spans="1:2" x14ac:dyDescent="0.25">
      <c r="A24" t="s">
        <v>201</v>
      </c>
      <c r="B24" t="s">
        <v>1417</v>
      </c>
    </row>
    <row r="25" spans="1:2" x14ac:dyDescent="0.25">
      <c r="A25" t="s">
        <v>201</v>
      </c>
      <c r="B25" t="s">
        <v>280</v>
      </c>
    </row>
    <row r="26" spans="1:2" x14ac:dyDescent="0.25">
      <c r="A26" t="s">
        <v>201</v>
      </c>
      <c r="B26" t="s">
        <v>309</v>
      </c>
    </row>
    <row r="27" spans="1:2" x14ac:dyDescent="0.25">
      <c r="A27" t="s">
        <v>201</v>
      </c>
      <c r="B27" t="s">
        <v>484</v>
      </c>
    </row>
    <row r="28" spans="1:2" x14ac:dyDescent="0.25">
      <c r="A28" t="s">
        <v>221</v>
      </c>
      <c r="B28" t="s">
        <v>1531</v>
      </c>
    </row>
    <row r="29" spans="1:2" x14ac:dyDescent="0.25">
      <c r="A29" t="s">
        <v>221</v>
      </c>
      <c r="B29" t="s">
        <v>1532</v>
      </c>
    </row>
    <row r="30" spans="1:2" x14ac:dyDescent="0.25">
      <c r="A30" t="s">
        <v>203</v>
      </c>
      <c r="B30" t="s">
        <v>1533</v>
      </c>
    </row>
    <row r="31" spans="1:2" x14ac:dyDescent="0.25">
      <c r="A31" t="s">
        <v>203</v>
      </c>
      <c r="B31" t="s">
        <v>1534</v>
      </c>
    </row>
    <row r="32" spans="1:2" x14ac:dyDescent="0.25">
      <c r="A32" t="s">
        <v>208</v>
      </c>
      <c r="B32" t="s">
        <v>229</v>
      </c>
    </row>
    <row r="33" spans="1:2" x14ac:dyDescent="0.25">
      <c r="A33" t="s">
        <v>203</v>
      </c>
      <c r="B33" t="s">
        <v>294</v>
      </c>
    </row>
    <row r="34" spans="1:2" x14ac:dyDescent="0.25">
      <c r="A34" t="s">
        <v>201</v>
      </c>
      <c r="B34" t="s">
        <v>1535</v>
      </c>
    </row>
    <row r="35" spans="1:2" x14ac:dyDescent="0.25">
      <c r="A35" t="s">
        <v>203</v>
      </c>
      <c r="B35" t="s">
        <v>1536</v>
      </c>
    </row>
    <row r="36" spans="1:2" x14ac:dyDescent="0.25">
      <c r="A36" t="s">
        <v>203</v>
      </c>
      <c r="B36" t="s">
        <v>229</v>
      </c>
    </row>
    <row r="37" spans="1:2" x14ac:dyDescent="0.25">
      <c r="A37" t="s">
        <v>201</v>
      </c>
      <c r="B37" t="s">
        <v>372</v>
      </c>
    </row>
    <row r="38" spans="1:2" x14ac:dyDescent="0.25">
      <c r="A38" t="s">
        <v>201</v>
      </c>
      <c r="B38" t="s">
        <v>912</v>
      </c>
    </row>
    <row r="39" spans="1:2" x14ac:dyDescent="0.25">
      <c r="A39" t="s">
        <v>203</v>
      </c>
      <c r="B39" t="s">
        <v>304</v>
      </c>
    </row>
    <row r="40" spans="1:2" x14ac:dyDescent="0.25">
      <c r="A40" t="s">
        <v>201</v>
      </c>
      <c r="B40" t="s">
        <v>1537</v>
      </c>
    </row>
    <row r="41" spans="1:2" x14ac:dyDescent="0.25">
      <c r="A41" t="s">
        <v>203</v>
      </c>
      <c r="B41" t="s">
        <v>1538</v>
      </c>
    </row>
    <row r="42" spans="1:2" x14ac:dyDescent="0.25">
      <c r="A42" t="s">
        <v>201</v>
      </c>
      <c r="B42" t="s">
        <v>1539</v>
      </c>
    </row>
    <row r="43" spans="1:2" x14ac:dyDescent="0.25">
      <c r="A43" t="s">
        <v>203</v>
      </c>
      <c r="B43" t="s">
        <v>1540</v>
      </c>
    </row>
    <row r="44" spans="1:2" x14ac:dyDescent="0.25">
      <c r="A44" t="s">
        <v>208</v>
      </c>
      <c r="B44" t="s">
        <v>1541</v>
      </c>
    </row>
    <row r="45" spans="1:2" x14ac:dyDescent="0.25">
      <c r="A45" t="s">
        <v>201</v>
      </c>
      <c r="B45" t="s">
        <v>237</v>
      </c>
    </row>
    <row r="46" spans="1:2" x14ac:dyDescent="0.25">
      <c r="A46" t="s">
        <v>201</v>
      </c>
      <c r="B46" t="s">
        <v>1542</v>
      </c>
    </row>
    <row r="47" spans="1:2" x14ac:dyDescent="0.25">
      <c r="A47" t="s">
        <v>203</v>
      </c>
      <c r="B47" t="s">
        <v>1543</v>
      </c>
    </row>
    <row r="48" spans="1:2" x14ac:dyDescent="0.25">
      <c r="A48" t="s">
        <v>201</v>
      </c>
      <c r="B48" t="s">
        <v>1544</v>
      </c>
    </row>
    <row r="49" spans="1:2" x14ac:dyDescent="0.25">
      <c r="A49" t="s">
        <v>201</v>
      </c>
      <c r="B49" t="s">
        <v>1545</v>
      </c>
    </row>
    <row r="50" spans="1:2" x14ac:dyDescent="0.25">
      <c r="A50" t="s">
        <v>203</v>
      </c>
      <c r="B50" t="s">
        <v>748</v>
      </c>
    </row>
    <row r="51" spans="1:2" x14ac:dyDescent="0.25">
      <c r="A51" t="s">
        <v>201</v>
      </c>
      <c r="B51" t="s">
        <v>1252</v>
      </c>
    </row>
    <row r="52" spans="1:2" x14ac:dyDescent="0.25">
      <c r="A52" t="s">
        <v>203</v>
      </c>
      <c r="B52" t="s">
        <v>1546</v>
      </c>
    </row>
    <row r="53" spans="1:2" x14ac:dyDescent="0.25">
      <c r="A53" t="s">
        <v>201</v>
      </c>
      <c r="B53" t="s">
        <v>1547</v>
      </c>
    </row>
    <row r="54" spans="1:2" x14ac:dyDescent="0.25">
      <c r="A54" t="s">
        <v>203</v>
      </c>
      <c r="B54" t="s">
        <v>53</v>
      </c>
    </row>
    <row r="55" spans="1:2" x14ac:dyDescent="0.25">
      <c r="A55" t="s">
        <v>226</v>
      </c>
      <c r="B55" t="s">
        <v>1548</v>
      </c>
    </row>
    <row r="56" spans="1:2" x14ac:dyDescent="0.25">
      <c r="A56" t="s">
        <v>203</v>
      </c>
      <c r="B56" t="s">
        <v>234</v>
      </c>
    </row>
    <row r="57" spans="1:2" x14ac:dyDescent="0.25">
      <c r="A57" t="s">
        <v>203</v>
      </c>
      <c r="B57" t="s">
        <v>248</v>
      </c>
    </row>
    <row r="58" spans="1:2" x14ac:dyDescent="0.25">
      <c r="A58" t="s">
        <v>201</v>
      </c>
      <c r="B58" t="s">
        <v>1549</v>
      </c>
    </row>
    <row r="59" spans="1:2" x14ac:dyDescent="0.25">
      <c r="A59" t="s">
        <v>208</v>
      </c>
      <c r="B59" t="s">
        <v>74</v>
      </c>
    </row>
    <row r="60" spans="1:2" x14ac:dyDescent="0.25">
      <c r="A60" t="s">
        <v>203</v>
      </c>
      <c r="B60" t="s">
        <v>1550</v>
      </c>
    </row>
    <row r="61" spans="1:2" x14ac:dyDescent="0.25">
      <c r="A61" t="s">
        <v>203</v>
      </c>
      <c r="B61" t="s">
        <v>1551</v>
      </c>
    </row>
    <row r="62" spans="1:2" x14ac:dyDescent="0.25">
      <c r="A62" t="s">
        <v>201</v>
      </c>
      <c r="B62" t="s">
        <v>760</v>
      </c>
    </row>
    <row r="63" spans="1:2" x14ac:dyDescent="0.25">
      <c r="A63" t="s">
        <v>201</v>
      </c>
      <c r="B63" t="s">
        <v>761</v>
      </c>
    </row>
    <row r="64" spans="1:2" x14ac:dyDescent="0.25">
      <c r="A64" t="s">
        <v>201</v>
      </c>
      <c r="B64" t="s">
        <v>256</v>
      </c>
    </row>
    <row r="65" spans="1:2" x14ac:dyDescent="0.25">
      <c r="A65" t="s">
        <v>201</v>
      </c>
      <c r="B65" t="s">
        <v>829</v>
      </c>
    </row>
    <row r="66" spans="1:2" x14ac:dyDescent="0.25">
      <c r="A66" t="s">
        <v>201</v>
      </c>
      <c r="B66" t="s">
        <v>1552</v>
      </c>
    </row>
    <row r="67" spans="1:2" x14ac:dyDescent="0.25">
      <c r="A67" t="s">
        <v>203</v>
      </c>
      <c r="B67" t="s">
        <v>26</v>
      </c>
    </row>
    <row r="68" spans="1:2" x14ac:dyDescent="0.25">
      <c r="A68" t="s">
        <v>221</v>
      </c>
      <c r="B68" t="s">
        <v>1553</v>
      </c>
    </row>
    <row r="69" spans="1:2" x14ac:dyDescent="0.25">
      <c r="A69" t="s">
        <v>203</v>
      </c>
      <c r="B69" t="s">
        <v>74</v>
      </c>
    </row>
    <row r="70" spans="1:2" x14ac:dyDescent="0.25">
      <c r="A70" t="s">
        <v>201</v>
      </c>
      <c r="B70" t="s">
        <v>1554</v>
      </c>
    </row>
    <row r="71" spans="1:2" x14ac:dyDescent="0.25">
      <c r="A71" t="s">
        <v>221</v>
      </c>
      <c r="B71" t="s">
        <v>1555</v>
      </c>
    </row>
    <row r="72" spans="1:2" x14ac:dyDescent="0.25">
      <c r="A72" t="s">
        <v>201</v>
      </c>
      <c r="B72" t="s">
        <v>1556</v>
      </c>
    </row>
    <row r="73" spans="1:2" x14ac:dyDescent="0.25">
      <c r="A73" t="s">
        <v>201</v>
      </c>
      <c r="B73" t="s">
        <v>1557</v>
      </c>
    </row>
    <row r="74" spans="1:2" x14ac:dyDescent="0.25">
      <c r="A74" t="s">
        <v>221</v>
      </c>
      <c r="B74" t="s">
        <v>263</v>
      </c>
    </row>
    <row r="75" spans="1:2" x14ac:dyDescent="0.25">
      <c r="A75" t="s">
        <v>203</v>
      </c>
      <c r="B75" t="s">
        <v>1558</v>
      </c>
    </row>
    <row r="76" spans="1:2" x14ac:dyDescent="0.25">
      <c r="A76" t="s">
        <v>201</v>
      </c>
      <c r="B76" t="s">
        <v>1158</v>
      </c>
    </row>
    <row r="77" spans="1:2" x14ac:dyDescent="0.25">
      <c r="A77" t="s">
        <v>221</v>
      </c>
      <c r="B77" t="s">
        <v>1404</v>
      </c>
    </row>
    <row r="78" spans="1:2" x14ac:dyDescent="0.25">
      <c r="A78" t="s">
        <v>221</v>
      </c>
      <c r="B78" t="s">
        <v>266</v>
      </c>
    </row>
    <row r="79" spans="1:2" x14ac:dyDescent="0.25">
      <c r="A79" t="s">
        <v>203</v>
      </c>
      <c r="B79" t="s">
        <v>1559</v>
      </c>
    </row>
    <row r="80" spans="1:2" x14ac:dyDescent="0.25">
      <c r="A80" t="s">
        <v>221</v>
      </c>
      <c r="B80" t="s">
        <v>1560</v>
      </c>
    </row>
    <row r="81" spans="1:2" x14ac:dyDescent="0.25">
      <c r="A81" t="s">
        <v>201</v>
      </c>
      <c r="B81" t="s">
        <v>1561</v>
      </c>
    </row>
    <row r="82" spans="1:2" x14ac:dyDescent="0.25">
      <c r="A82" t="s">
        <v>201</v>
      </c>
      <c r="B82" t="s">
        <v>725</v>
      </c>
    </row>
    <row r="83" spans="1:2" x14ac:dyDescent="0.25">
      <c r="A83" t="s">
        <v>201</v>
      </c>
      <c r="B83" t="s">
        <v>237</v>
      </c>
    </row>
    <row r="84" spans="1:2" x14ac:dyDescent="0.25">
      <c r="A84" t="s">
        <v>221</v>
      </c>
      <c r="B84" t="s">
        <v>1562</v>
      </c>
    </row>
    <row r="85" spans="1:2" x14ac:dyDescent="0.25">
      <c r="A85" t="s">
        <v>221</v>
      </c>
      <c r="B85" t="s">
        <v>1563</v>
      </c>
    </row>
    <row r="86" spans="1:2" x14ac:dyDescent="0.25">
      <c r="A86" t="s">
        <v>203</v>
      </c>
      <c r="B86" t="s">
        <v>272</v>
      </c>
    </row>
    <row r="87" spans="1:2" x14ac:dyDescent="0.25">
      <c r="A87" t="s">
        <v>203</v>
      </c>
      <c r="B87" t="s">
        <v>1564</v>
      </c>
    </row>
    <row r="88" spans="1:2" x14ac:dyDescent="0.25">
      <c r="A88" t="s">
        <v>201</v>
      </c>
      <c r="B88" t="s">
        <v>212</v>
      </c>
    </row>
    <row r="89" spans="1:2" x14ac:dyDescent="0.25">
      <c r="A89" t="s">
        <v>203</v>
      </c>
      <c r="B89" t="s">
        <v>1392</v>
      </c>
    </row>
    <row r="90" spans="1:2" x14ac:dyDescent="0.25">
      <c r="A90" t="s">
        <v>203</v>
      </c>
      <c r="B90" t="s">
        <v>278</v>
      </c>
    </row>
    <row r="91" spans="1:2" x14ac:dyDescent="0.25">
      <c r="A91" t="s">
        <v>208</v>
      </c>
      <c r="B91" t="s">
        <v>74</v>
      </c>
    </row>
    <row r="92" spans="1:2" x14ac:dyDescent="0.25">
      <c r="A92" t="s">
        <v>201</v>
      </c>
      <c r="B92" t="s">
        <v>1565</v>
      </c>
    </row>
    <row r="93" spans="1:2" x14ac:dyDescent="0.25">
      <c r="A93" t="s">
        <v>203</v>
      </c>
      <c r="B93" t="s">
        <v>1566</v>
      </c>
    </row>
    <row r="94" spans="1:2" x14ac:dyDescent="0.25">
      <c r="A94" t="s">
        <v>201</v>
      </c>
      <c r="B94" t="s">
        <v>256</v>
      </c>
    </row>
    <row r="95" spans="1:2" x14ac:dyDescent="0.25">
      <c r="A95" t="s">
        <v>203</v>
      </c>
      <c r="B95" t="s">
        <v>1567</v>
      </c>
    </row>
    <row r="96" spans="1:2" x14ac:dyDescent="0.25">
      <c r="A96" t="s">
        <v>201</v>
      </c>
      <c r="B96" t="s">
        <v>280</v>
      </c>
    </row>
    <row r="97" spans="1:2" x14ac:dyDescent="0.25">
      <c r="A97" t="s">
        <v>208</v>
      </c>
      <c r="B97" t="s">
        <v>74</v>
      </c>
    </row>
    <row r="98" spans="1:2" x14ac:dyDescent="0.25">
      <c r="A98" t="s">
        <v>208</v>
      </c>
      <c r="B98" t="s">
        <v>1568</v>
      </c>
    </row>
    <row r="99" spans="1:2" x14ac:dyDescent="0.25">
      <c r="A99" t="s">
        <v>203</v>
      </c>
      <c r="B99" t="s">
        <v>233</v>
      </c>
    </row>
    <row r="100" spans="1:2" x14ac:dyDescent="0.25">
      <c r="A100" t="s">
        <v>201</v>
      </c>
      <c r="B100" t="s">
        <v>1569</v>
      </c>
    </row>
    <row r="101" spans="1:2" x14ac:dyDescent="0.25">
      <c r="A101" t="s">
        <v>201</v>
      </c>
      <c r="B101" t="s">
        <v>1570</v>
      </c>
    </row>
    <row r="102" spans="1:2" x14ac:dyDescent="0.25">
      <c r="A102" t="s">
        <v>203</v>
      </c>
      <c r="B102" t="s">
        <v>1571</v>
      </c>
    </row>
    <row r="103" spans="1:2" x14ac:dyDescent="0.25">
      <c r="A103" t="s">
        <v>203</v>
      </c>
      <c r="B103" t="s">
        <v>323</v>
      </c>
    </row>
    <row r="104" spans="1:2" x14ac:dyDescent="0.25">
      <c r="A104" t="s">
        <v>201</v>
      </c>
      <c r="B104" t="s">
        <v>1572</v>
      </c>
    </row>
    <row r="105" spans="1:2" x14ac:dyDescent="0.25">
      <c r="A105" t="s">
        <v>201</v>
      </c>
      <c r="B105" t="s">
        <v>1573</v>
      </c>
    </row>
    <row r="106" spans="1:2" x14ac:dyDescent="0.25">
      <c r="A106" t="s">
        <v>201</v>
      </c>
      <c r="B106" t="s">
        <v>1574</v>
      </c>
    </row>
    <row r="107" spans="1:2" x14ac:dyDescent="0.25">
      <c r="A107" t="s">
        <v>221</v>
      </c>
      <c r="B107" t="s">
        <v>1575</v>
      </c>
    </row>
    <row r="108" spans="1:2" x14ac:dyDescent="0.25">
      <c r="A108" t="s">
        <v>203</v>
      </c>
      <c r="B108" t="s">
        <v>1576</v>
      </c>
    </row>
    <row r="109" spans="1:2" x14ac:dyDescent="0.25">
      <c r="A109" t="s">
        <v>201</v>
      </c>
      <c r="B109" t="s">
        <v>1577</v>
      </c>
    </row>
    <row r="110" spans="1:2" x14ac:dyDescent="0.25">
      <c r="A110" t="s">
        <v>201</v>
      </c>
      <c r="B110" t="s">
        <v>739</v>
      </c>
    </row>
    <row r="111" spans="1:2" x14ac:dyDescent="0.25">
      <c r="A111" t="s">
        <v>221</v>
      </c>
      <c r="B111" t="s">
        <v>1578</v>
      </c>
    </row>
    <row r="112" spans="1:2" x14ac:dyDescent="0.25">
      <c r="A112" t="s">
        <v>203</v>
      </c>
      <c r="B112" t="s">
        <v>725</v>
      </c>
    </row>
    <row r="113" spans="1:2" x14ac:dyDescent="0.25">
      <c r="A113" t="s">
        <v>203</v>
      </c>
      <c r="B113" t="s">
        <v>1417</v>
      </c>
    </row>
    <row r="114" spans="1:2" x14ac:dyDescent="0.25">
      <c r="A114" t="s">
        <v>201</v>
      </c>
      <c r="B114" t="s">
        <v>1579</v>
      </c>
    </row>
    <row r="115" spans="1:2" x14ac:dyDescent="0.25">
      <c r="A115" t="s">
        <v>208</v>
      </c>
      <c r="B115" t="s">
        <v>1580</v>
      </c>
    </row>
    <row r="116" spans="1:2" x14ac:dyDescent="0.25">
      <c r="A116" t="s">
        <v>226</v>
      </c>
      <c r="B116" t="s">
        <v>1581</v>
      </c>
    </row>
    <row r="117" spans="1:2" x14ac:dyDescent="0.25">
      <c r="A117" t="s">
        <v>203</v>
      </c>
      <c r="B117" t="s">
        <v>1582</v>
      </c>
    </row>
    <row r="118" spans="1:2" x14ac:dyDescent="0.25">
      <c r="A118" t="s">
        <v>201</v>
      </c>
      <c r="B118" t="s">
        <v>1583</v>
      </c>
    </row>
    <row r="119" spans="1:2" x14ac:dyDescent="0.25">
      <c r="A119" t="s">
        <v>203</v>
      </c>
      <c r="B119" t="s">
        <v>198</v>
      </c>
    </row>
    <row r="120" spans="1:2" x14ac:dyDescent="0.25">
      <c r="A120" t="s">
        <v>203</v>
      </c>
      <c r="B120" t="s">
        <v>1584</v>
      </c>
    </row>
    <row r="121" spans="1:2" x14ac:dyDescent="0.25">
      <c r="A121" t="s">
        <v>203</v>
      </c>
      <c r="B121" t="s">
        <v>1585</v>
      </c>
    </row>
    <row r="122" spans="1:2" x14ac:dyDescent="0.25">
      <c r="A122" t="s">
        <v>221</v>
      </c>
      <c r="B122" t="s">
        <v>1586</v>
      </c>
    </row>
    <row r="123" spans="1:2" x14ac:dyDescent="0.25">
      <c r="A123" t="s">
        <v>201</v>
      </c>
      <c r="B123" t="s">
        <v>1587</v>
      </c>
    </row>
    <row r="124" spans="1:2" x14ac:dyDescent="0.25">
      <c r="A124" t="s">
        <v>226</v>
      </c>
      <c r="B124" t="s">
        <v>347</v>
      </c>
    </row>
    <row r="125" spans="1:2" x14ac:dyDescent="0.25">
      <c r="A125" t="s">
        <v>201</v>
      </c>
      <c r="B125" t="s">
        <v>964</v>
      </c>
    </row>
    <row r="126" spans="1:2" x14ac:dyDescent="0.25">
      <c r="A126" t="s">
        <v>203</v>
      </c>
      <c r="B126" t="s">
        <v>1588</v>
      </c>
    </row>
    <row r="127" spans="1:2" x14ac:dyDescent="0.25">
      <c r="A127" t="s">
        <v>201</v>
      </c>
      <c r="B127" t="s">
        <v>229</v>
      </c>
    </row>
    <row r="128" spans="1:2" x14ac:dyDescent="0.25">
      <c r="A128" t="s">
        <v>221</v>
      </c>
      <c r="B128" t="s">
        <v>263</v>
      </c>
    </row>
    <row r="129" spans="1:2" x14ac:dyDescent="0.25">
      <c r="A129" t="s">
        <v>203</v>
      </c>
      <c r="B129" t="s">
        <v>78</v>
      </c>
    </row>
    <row r="130" spans="1:2" x14ac:dyDescent="0.25">
      <c r="A130" t="s">
        <v>203</v>
      </c>
      <c r="B130" t="s">
        <v>74</v>
      </c>
    </row>
    <row r="131" spans="1:2" x14ac:dyDescent="0.25">
      <c r="A131" t="s">
        <v>203</v>
      </c>
      <c r="B131" t="s">
        <v>1589</v>
      </c>
    </row>
    <row r="132" spans="1:2" x14ac:dyDescent="0.25">
      <c r="A132" t="s">
        <v>203</v>
      </c>
      <c r="B132" t="s">
        <v>1590</v>
      </c>
    </row>
    <row r="133" spans="1:2" x14ac:dyDescent="0.25">
      <c r="A133" t="s">
        <v>201</v>
      </c>
      <c r="B133" t="s">
        <v>1591</v>
      </c>
    </row>
    <row r="134" spans="1:2" x14ac:dyDescent="0.25">
      <c r="A134" t="s">
        <v>221</v>
      </c>
      <c r="B134" t="s">
        <v>398</v>
      </c>
    </row>
    <row r="135" spans="1:2" x14ac:dyDescent="0.25">
      <c r="A135" t="s">
        <v>201</v>
      </c>
      <c r="B135" t="s">
        <v>307</v>
      </c>
    </row>
    <row r="136" spans="1:2" x14ac:dyDescent="0.25">
      <c r="A136" t="s">
        <v>226</v>
      </c>
      <c r="B136" t="s">
        <v>1592</v>
      </c>
    </row>
    <row r="137" spans="1:2" x14ac:dyDescent="0.25">
      <c r="A137" t="s">
        <v>201</v>
      </c>
      <c r="B137" t="s">
        <v>1179</v>
      </c>
    </row>
    <row r="138" spans="1:2" x14ac:dyDescent="0.25">
      <c r="A138" t="s">
        <v>203</v>
      </c>
      <c r="B138" t="s">
        <v>1593</v>
      </c>
    </row>
    <row r="139" spans="1:2" x14ac:dyDescent="0.25">
      <c r="A139" t="s">
        <v>203</v>
      </c>
      <c r="B139" t="s">
        <v>1540</v>
      </c>
    </row>
    <row r="140" spans="1:2" x14ac:dyDescent="0.25">
      <c r="A140" t="s">
        <v>201</v>
      </c>
      <c r="B140" t="s">
        <v>1594</v>
      </c>
    </row>
    <row r="141" spans="1:2" x14ac:dyDescent="0.25">
      <c r="A141" t="s">
        <v>201</v>
      </c>
      <c r="B141" t="s">
        <v>623</v>
      </c>
    </row>
    <row r="142" spans="1:2" x14ac:dyDescent="0.25">
      <c r="A142" t="s">
        <v>221</v>
      </c>
      <c r="B142" t="s">
        <v>435</v>
      </c>
    </row>
    <row r="143" spans="1:2" x14ac:dyDescent="0.25">
      <c r="A143" t="s">
        <v>203</v>
      </c>
      <c r="B143" t="s">
        <v>535</v>
      </c>
    </row>
    <row r="144" spans="1:2" x14ac:dyDescent="0.25">
      <c r="A144" t="s">
        <v>203</v>
      </c>
      <c r="B144" t="s">
        <v>1595</v>
      </c>
    </row>
    <row r="145" spans="1:2" x14ac:dyDescent="0.25">
      <c r="A145" t="s">
        <v>203</v>
      </c>
      <c r="B145" t="s">
        <v>1596</v>
      </c>
    </row>
    <row r="146" spans="1:2" x14ac:dyDescent="0.25">
      <c r="A146" t="s">
        <v>203</v>
      </c>
      <c r="B146" t="s">
        <v>74</v>
      </c>
    </row>
    <row r="147" spans="1:2" x14ac:dyDescent="0.25">
      <c r="A147" t="s">
        <v>201</v>
      </c>
      <c r="B147" t="s">
        <v>1597</v>
      </c>
    </row>
    <row r="148" spans="1:2" x14ac:dyDescent="0.25">
      <c r="A148" t="s">
        <v>203</v>
      </c>
      <c r="B148" t="s">
        <v>46</v>
      </c>
    </row>
    <row r="149" spans="1:2" x14ac:dyDescent="0.25">
      <c r="A149" t="s">
        <v>226</v>
      </c>
      <c r="B149" t="s">
        <v>152</v>
      </c>
    </row>
    <row r="150" spans="1:2" x14ac:dyDescent="0.25">
      <c r="A150" t="s">
        <v>203</v>
      </c>
      <c r="B150" t="s">
        <v>315</v>
      </c>
    </row>
    <row r="151" spans="1:2" x14ac:dyDescent="0.25">
      <c r="A151" t="s">
        <v>201</v>
      </c>
      <c r="B151" t="s">
        <v>202</v>
      </c>
    </row>
    <row r="152" spans="1:2" x14ac:dyDescent="0.25">
      <c r="A152" t="s">
        <v>201</v>
      </c>
      <c r="B152" t="s">
        <v>1598</v>
      </c>
    </row>
    <row r="153" spans="1:2" x14ac:dyDescent="0.25">
      <c r="A153" t="s">
        <v>203</v>
      </c>
      <c r="B153" t="s">
        <v>278</v>
      </c>
    </row>
    <row r="154" spans="1:2" x14ac:dyDescent="0.25">
      <c r="A154" t="s">
        <v>203</v>
      </c>
      <c r="B154" t="s">
        <v>72</v>
      </c>
    </row>
    <row r="155" spans="1:2" x14ac:dyDescent="0.25">
      <c r="A155" t="s">
        <v>201</v>
      </c>
      <c r="B155" t="s">
        <v>1599</v>
      </c>
    </row>
    <row r="156" spans="1:2" x14ac:dyDescent="0.25">
      <c r="A156" t="s">
        <v>201</v>
      </c>
      <c r="B156" t="s">
        <v>1600</v>
      </c>
    </row>
    <row r="157" spans="1:2" x14ac:dyDescent="0.25">
      <c r="A157" t="s">
        <v>221</v>
      </c>
      <c r="B157" t="s">
        <v>1601</v>
      </c>
    </row>
    <row r="158" spans="1:2" x14ac:dyDescent="0.25">
      <c r="A158" t="s">
        <v>203</v>
      </c>
      <c r="B158" t="s">
        <v>1602</v>
      </c>
    </row>
    <row r="159" spans="1:2" x14ac:dyDescent="0.25">
      <c r="A159" t="s">
        <v>221</v>
      </c>
      <c r="B159" t="s">
        <v>1603</v>
      </c>
    </row>
    <row r="160" spans="1:2" x14ac:dyDescent="0.25">
      <c r="A160" t="s">
        <v>203</v>
      </c>
      <c r="B160" t="s">
        <v>278</v>
      </c>
    </row>
    <row r="161" spans="1:2" x14ac:dyDescent="0.25">
      <c r="A161" t="s">
        <v>203</v>
      </c>
      <c r="B161" t="s">
        <v>818</v>
      </c>
    </row>
    <row r="162" spans="1:2" x14ac:dyDescent="0.25">
      <c r="A162" t="s">
        <v>201</v>
      </c>
      <c r="B162" t="s">
        <v>739</v>
      </c>
    </row>
    <row r="163" spans="1:2" x14ac:dyDescent="0.25">
      <c r="A163" t="s">
        <v>203</v>
      </c>
      <c r="B163" t="s">
        <v>1604</v>
      </c>
    </row>
    <row r="164" spans="1:2" x14ac:dyDescent="0.25">
      <c r="A164" t="s">
        <v>208</v>
      </c>
      <c r="B164" t="s">
        <v>335</v>
      </c>
    </row>
    <row r="165" spans="1:2" x14ac:dyDescent="0.25">
      <c r="A165" t="s">
        <v>201</v>
      </c>
      <c r="B165" t="s">
        <v>1605</v>
      </c>
    </row>
    <row r="166" spans="1:2" x14ac:dyDescent="0.25">
      <c r="A166" t="s">
        <v>201</v>
      </c>
      <c r="B166" t="s">
        <v>725</v>
      </c>
    </row>
    <row r="167" spans="1:2" x14ac:dyDescent="0.25">
      <c r="A167" t="s">
        <v>203</v>
      </c>
      <c r="B167" t="s">
        <v>1606</v>
      </c>
    </row>
    <row r="168" spans="1:2" x14ac:dyDescent="0.25">
      <c r="A168" t="s">
        <v>203</v>
      </c>
      <c r="B168" t="s">
        <v>278</v>
      </c>
    </row>
    <row r="169" spans="1:2" x14ac:dyDescent="0.25">
      <c r="A169" t="s">
        <v>221</v>
      </c>
      <c r="B169" t="s">
        <v>1607</v>
      </c>
    </row>
    <row r="170" spans="1:2" x14ac:dyDescent="0.25">
      <c r="A170" t="s">
        <v>203</v>
      </c>
      <c r="B170" t="s">
        <v>1608</v>
      </c>
    </row>
    <row r="171" spans="1:2" x14ac:dyDescent="0.25">
      <c r="A171" t="s">
        <v>203</v>
      </c>
      <c r="B171" t="s">
        <v>1609</v>
      </c>
    </row>
    <row r="172" spans="1:2" x14ac:dyDescent="0.25">
      <c r="A172" t="s">
        <v>203</v>
      </c>
      <c r="B172" t="s">
        <v>1610</v>
      </c>
    </row>
    <row r="173" spans="1:2" x14ac:dyDescent="0.25">
      <c r="A173" t="s">
        <v>201</v>
      </c>
      <c r="B173" t="s">
        <v>1611</v>
      </c>
    </row>
    <row r="174" spans="1:2" x14ac:dyDescent="0.25">
      <c r="A174" t="s">
        <v>203</v>
      </c>
      <c r="B174" t="s">
        <v>198</v>
      </c>
    </row>
    <row r="175" spans="1:2" x14ac:dyDescent="0.25">
      <c r="A175" t="s">
        <v>208</v>
      </c>
      <c r="B175" t="s">
        <v>1540</v>
      </c>
    </row>
    <row r="176" spans="1:2" x14ac:dyDescent="0.25">
      <c r="A176" t="s">
        <v>203</v>
      </c>
      <c r="B176" t="s">
        <v>328</v>
      </c>
    </row>
    <row r="177" spans="1:2" x14ac:dyDescent="0.25">
      <c r="A177" t="s">
        <v>201</v>
      </c>
      <c r="B177" t="s">
        <v>212</v>
      </c>
    </row>
    <row r="178" spans="1:2" x14ac:dyDescent="0.25">
      <c r="A178" t="s">
        <v>221</v>
      </c>
      <c r="B178" t="s">
        <v>1612</v>
      </c>
    </row>
    <row r="179" spans="1:2" x14ac:dyDescent="0.25">
      <c r="A179" t="s">
        <v>203</v>
      </c>
      <c r="B179" t="s">
        <v>1613</v>
      </c>
    </row>
    <row r="180" spans="1:2" x14ac:dyDescent="0.25">
      <c r="A180" t="s">
        <v>208</v>
      </c>
      <c r="B180" t="s">
        <v>198</v>
      </c>
    </row>
    <row r="181" spans="1:2" x14ac:dyDescent="0.25">
      <c r="A181" t="s">
        <v>201</v>
      </c>
      <c r="B181" t="s">
        <v>256</v>
      </c>
    </row>
    <row r="182" spans="1:2" x14ac:dyDescent="0.25">
      <c r="A182" t="s">
        <v>226</v>
      </c>
      <c r="B182" t="s">
        <v>1614</v>
      </c>
    </row>
    <row r="183" spans="1:2" x14ac:dyDescent="0.25">
      <c r="A183" t="s">
        <v>221</v>
      </c>
      <c r="B183" t="s">
        <v>1615</v>
      </c>
    </row>
    <row r="184" spans="1:2" x14ac:dyDescent="0.25">
      <c r="A184" t="s">
        <v>203</v>
      </c>
      <c r="B184" t="s">
        <v>278</v>
      </c>
    </row>
    <row r="185" spans="1:2" x14ac:dyDescent="0.25">
      <c r="A185" t="s">
        <v>201</v>
      </c>
      <c r="B185" t="s">
        <v>263</v>
      </c>
    </row>
    <row r="186" spans="1:2" x14ac:dyDescent="0.25">
      <c r="A186" t="s">
        <v>201</v>
      </c>
      <c r="B186" t="s">
        <v>1616</v>
      </c>
    </row>
    <row r="187" spans="1:2" x14ac:dyDescent="0.25">
      <c r="A187" t="s">
        <v>201</v>
      </c>
      <c r="B187" t="s">
        <v>1617</v>
      </c>
    </row>
    <row r="188" spans="1:2" x14ac:dyDescent="0.25">
      <c r="A188" t="s">
        <v>203</v>
      </c>
      <c r="B188" t="s">
        <v>53</v>
      </c>
    </row>
    <row r="189" spans="1:2" x14ac:dyDescent="0.25">
      <c r="A189" t="s">
        <v>221</v>
      </c>
      <c r="B189" t="s">
        <v>1618</v>
      </c>
    </row>
    <row r="190" spans="1:2" x14ac:dyDescent="0.25">
      <c r="A190" t="s">
        <v>201</v>
      </c>
      <c r="B190" t="s">
        <v>1540</v>
      </c>
    </row>
    <row r="191" spans="1:2" x14ac:dyDescent="0.25">
      <c r="A191" t="s">
        <v>201</v>
      </c>
      <c r="B191" t="s">
        <v>309</v>
      </c>
    </row>
    <row r="192" spans="1:2" x14ac:dyDescent="0.25">
      <c r="A192" t="s">
        <v>203</v>
      </c>
      <c r="B192" t="s">
        <v>1619</v>
      </c>
    </row>
    <row r="193" spans="1:2" x14ac:dyDescent="0.25">
      <c r="A193" t="s">
        <v>201</v>
      </c>
      <c r="B193" t="s">
        <v>1620</v>
      </c>
    </row>
    <row r="194" spans="1:2" x14ac:dyDescent="0.25">
      <c r="A194" t="s">
        <v>201</v>
      </c>
      <c r="B194" t="s">
        <v>1540</v>
      </c>
    </row>
    <row r="195" spans="1:2" x14ac:dyDescent="0.25">
      <c r="A195" t="s">
        <v>201</v>
      </c>
      <c r="B195" t="s">
        <v>1438</v>
      </c>
    </row>
    <row r="196" spans="1:2" x14ac:dyDescent="0.25">
      <c r="A196" t="s">
        <v>208</v>
      </c>
      <c r="B196" t="s">
        <v>1621</v>
      </c>
    </row>
    <row r="197" spans="1:2" x14ac:dyDescent="0.25">
      <c r="A197" t="s">
        <v>201</v>
      </c>
      <c r="B197" t="s">
        <v>309</v>
      </c>
    </row>
    <row r="198" spans="1:2" x14ac:dyDescent="0.25">
      <c r="A198" t="s">
        <v>203</v>
      </c>
      <c r="B198" t="s">
        <v>74</v>
      </c>
    </row>
    <row r="199" spans="1:2" x14ac:dyDescent="0.25">
      <c r="A199" t="s">
        <v>221</v>
      </c>
      <c r="B199" t="s">
        <v>1597</v>
      </c>
    </row>
    <row r="200" spans="1:2" x14ac:dyDescent="0.25">
      <c r="A200" t="s">
        <v>221</v>
      </c>
      <c r="B200" t="s">
        <v>1622</v>
      </c>
    </row>
    <row r="201" spans="1:2" x14ac:dyDescent="0.25">
      <c r="A201" t="s">
        <v>201</v>
      </c>
      <c r="B201" t="s">
        <v>1470</v>
      </c>
    </row>
    <row r="202" spans="1:2" x14ac:dyDescent="0.25">
      <c r="A202" t="s">
        <v>203</v>
      </c>
      <c r="B202" t="s">
        <v>1623</v>
      </c>
    </row>
    <row r="203" spans="1:2" x14ac:dyDescent="0.25">
      <c r="A203" t="s">
        <v>203</v>
      </c>
      <c r="B203" t="s">
        <v>278</v>
      </c>
    </row>
    <row r="204" spans="1:2" x14ac:dyDescent="0.25">
      <c r="A204" t="s">
        <v>203</v>
      </c>
      <c r="B204" t="s">
        <v>82</v>
      </c>
    </row>
    <row r="205" spans="1:2" x14ac:dyDescent="0.25">
      <c r="A205" t="s">
        <v>203</v>
      </c>
      <c r="B205" t="s">
        <v>1624</v>
      </c>
    </row>
    <row r="206" spans="1:2" x14ac:dyDescent="0.25">
      <c r="A206" t="s">
        <v>201</v>
      </c>
      <c r="B206" t="s">
        <v>398</v>
      </c>
    </row>
    <row r="207" spans="1:2" x14ac:dyDescent="0.25">
      <c r="A207" t="s">
        <v>201</v>
      </c>
      <c r="B207" t="s">
        <v>725</v>
      </c>
    </row>
    <row r="208" spans="1:2" x14ac:dyDescent="0.25">
      <c r="A208" t="s">
        <v>203</v>
      </c>
      <c r="B208" t="s">
        <v>1625</v>
      </c>
    </row>
    <row r="209" spans="1:2" x14ac:dyDescent="0.25">
      <c r="A209" t="s">
        <v>203</v>
      </c>
      <c r="B209" t="s">
        <v>1626</v>
      </c>
    </row>
    <row r="210" spans="1:2" x14ac:dyDescent="0.25">
      <c r="A210" t="s">
        <v>226</v>
      </c>
      <c r="B210" t="s">
        <v>770</v>
      </c>
    </row>
    <row r="211" spans="1:2" x14ac:dyDescent="0.25">
      <c r="A211" t="s">
        <v>208</v>
      </c>
      <c r="B211" t="s">
        <v>1627</v>
      </c>
    </row>
    <row r="212" spans="1:2" x14ac:dyDescent="0.25">
      <c r="A212" t="s">
        <v>201</v>
      </c>
      <c r="B212" t="s">
        <v>1628</v>
      </c>
    </row>
    <row r="213" spans="1:2" x14ac:dyDescent="0.25">
      <c r="A213" t="s">
        <v>203</v>
      </c>
      <c r="B213" t="s">
        <v>359</v>
      </c>
    </row>
    <row r="214" spans="1:2" x14ac:dyDescent="0.25">
      <c r="A214" t="s">
        <v>201</v>
      </c>
      <c r="B214" t="s">
        <v>1540</v>
      </c>
    </row>
    <row r="215" spans="1:2" x14ac:dyDescent="0.25">
      <c r="A215" t="s">
        <v>203</v>
      </c>
      <c r="B215" t="s">
        <v>362</v>
      </c>
    </row>
    <row r="216" spans="1:2" x14ac:dyDescent="0.25">
      <c r="A216" t="s">
        <v>203</v>
      </c>
      <c r="B216" t="s">
        <v>74</v>
      </c>
    </row>
    <row r="217" spans="1:2" x14ac:dyDescent="0.25">
      <c r="A217" t="s">
        <v>203</v>
      </c>
      <c r="B217" t="s">
        <v>1629</v>
      </c>
    </row>
    <row r="218" spans="1:2" x14ac:dyDescent="0.25">
      <c r="A218" t="s">
        <v>203</v>
      </c>
      <c r="B218" t="s">
        <v>1630</v>
      </c>
    </row>
    <row r="219" spans="1:2" x14ac:dyDescent="0.25">
      <c r="A219" t="s">
        <v>203</v>
      </c>
      <c r="B219" t="s">
        <v>1437</v>
      </c>
    </row>
    <row r="220" spans="1:2" x14ac:dyDescent="0.25">
      <c r="A220" t="s">
        <v>201</v>
      </c>
      <c r="B220" t="s">
        <v>1631</v>
      </c>
    </row>
    <row r="221" spans="1:2" x14ac:dyDescent="0.25">
      <c r="A221" t="s">
        <v>201</v>
      </c>
      <c r="B221" t="s">
        <v>725</v>
      </c>
    </row>
    <row r="222" spans="1:2" x14ac:dyDescent="0.25">
      <c r="A222" t="s">
        <v>201</v>
      </c>
      <c r="B222" t="s">
        <v>1632</v>
      </c>
    </row>
    <row r="223" spans="1:2" x14ac:dyDescent="0.25">
      <c r="A223" t="s">
        <v>208</v>
      </c>
      <c r="B223" t="s">
        <v>1633</v>
      </c>
    </row>
    <row r="224" spans="1:2" x14ac:dyDescent="0.25">
      <c r="A224" t="s">
        <v>203</v>
      </c>
      <c r="B224" t="s">
        <v>1634</v>
      </c>
    </row>
    <row r="225" spans="1:2" x14ac:dyDescent="0.25">
      <c r="A225" t="s">
        <v>203</v>
      </c>
      <c r="B225" t="s">
        <v>96</v>
      </c>
    </row>
    <row r="226" spans="1:2" x14ac:dyDescent="0.25">
      <c r="A226" t="s">
        <v>201</v>
      </c>
      <c r="B226" t="s">
        <v>1601</v>
      </c>
    </row>
    <row r="227" spans="1:2" x14ac:dyDescent="0.25">
      <c r="A227" t="s">
        <v>221</v>
      </c>
      <c r="B227" t="s">
        <v>1635</v>
      </c>
    </row>
    <row r="228" spans="1:2" x14ac:dyDescent="0.25">
      <c r="A228" t="s">
        <v>201</v>
      </c>
      <c r="B228" t="s">
        <v>335</v>
      </c>
    </row>
    <row r="229" spans="1:2" x14ac:dyDescent="0.25">
      <c r="A229" t="s">
        <v>226</v>
      </c>
      <c r="B229" t="s">
        <v>1636</v>
      </c>
    </row>
    <row r="230" spans="1:2" x14ac:dyDescent="0.25">
      <c r="A230" t="s">
        <v>208</v>
      </c>
      <c r="B230" t="s">
        <v>1637</v>
      </c>
    </row>
    <row r="231" spans="1:2" x14ac:dyDescent="0.25">
      <c r="A231" t="s">
        <v>201</v>
      </c>
      <c r="B231" t="s">
        <v>1252</v>
      </c>
    </row>
    <row r="232" spans="1:2" x14ac:dyDescent="0.25">
      <c r="A232" t="s">
        <v>203</v>
      </c>
      <c r="B232" t="s">
        <v>1638</v>
      </c>
    </row>
    <row r="233" spans="1:2" x14ac:dyDescent="0.25">
      <c r="A233" t="s">
        <v>201</v>
      </c>
      <c r="B233" t="s">
        <v>545</v>
      </c>
    </row>
    <row r="234" spans="1:2" x14ac:dyDescent="0.25">
      <c r="A234" t="s">
        <v>203</v>
      </c>
      <c r="B234" t="s">
        <v>294</v>
      </c>
    </row>
    <row r="235" spans="1:2" x14ac:dyDescent="0.25">
      <c r="A235" t="s">
        <v>203</v>
      </c>
      <c r="B235" t="s">
        <v>1639</v>
      </c>
    </row>
    <row r="236" spans="1:2" x14ac:dyDescent="0.25">
      <c r="A236" t="s">
        <v>226</v>
      </c>
      <c r="B236" t="s">
        <v>74</v>
      </c>
    </row>
    <row r="237" spans="1:2" x14ac:dyDescent="0.25">
      <c r="A237" t="s">
        <v>201</v>
      </c>
      <c r="B237" t="s">
        <v>309</v>
      </c>
    </row>
    <row r="238" spans="1:2" x14ac:dyDescent="0.25">
      <c r="A238" t="s">
        <v>201</v>
      </c>
      <c r="B238" t="s">
        <v>212</v>
      </c>
    </row>
    <row r="239" spans="1:2" x14ac:dyDescent="0.25">
      <c r="A239" t="s">
        <v>201</v>
      </c>
      <c r="B239" t="s">
        <v>309</v>
      </c>
    </row>
    <row r="240" spans="1:2" x14ac:dyDescent="0.25">
      <c r="A240" t="s">
        <v>201</v>
      </c>
      <c r="B240" t="s">
        <v>484</v>
      </c>
    </row>
    <row r="241" spans="1:2" x14ac:dyDescent="0.25">
      <c r="A241" t="s">
        <v>203</v>
      </c>
      <c r="B241" t="s">
        <v>852</v>
      </c>
    </row>
    <row r="242" spans="1:2" x14ac:dyDescent="0.25">
      <c r="A242" t="s">
        <v>203</v>
      </c>
      <c r="B242" t="s">
        <v>1404</v>
      </c>
    </row>
    <row r="243" spans="1:2" x14ac:dyDescent="0.25">
      <c r="A243" t="s">
        <v>201</v>
      </c>
      <c r="B243" t="s">
        <v>1640</v>
      </c>
    </row>
    <row r="244" spans="1:2" x14ac:dyDescent="0.25">
      <c r="A244" t="s">
        <v>203</v>
      </c>
      <c r="B244" t="s">
        <v>214</v>
      </c>
    </row>
    <row r="245" spans="1:2" x14ac:dyDescent="0.25">
      <c r="A245" t="s">
        <v>203</v>
      </c>
      <c r="B245" t="s">
        <v>1641</v>
      </c>
    </row>
    <row r="246" spans="1:2" x14ac:dyDescent="0.25">
      <c r="A246" t="s">
        <v>203</v>
      </c>
      <c r="B246" t="s">
        <v>278</v>
      </c>
    </row>
    <row r="247" spans="1:2" x14ac:dyDescent="0.25">
      <c r="A247" t="s">
        <v>203</v>
      </c>
      <c r="B247" t="s">
        <v>1642</v>
      </c>
    </row>
    <row r="248" spans="1:2" x14ac:dyDescent="0.25">
      <c r="A248" t="s">
        <v>201</v>
      </c>
      <c r="B248" t="s">
        <v>1643</v>
      </c>
    </row>
    <row r="249" spans="1:2" x14ac:dyDescent="0.25">
      <c r="A249" t="s">
        <v>203</v>
      </c>
      <c r="B249" t="s">
        <v>269</v>
      </c>
    </row>
    <row r="250" spans="1:2" x14ac:dyDescent="0.25">
      <c r="A250" t="s">
        <v>203</v>
      </c>
      <c r="B250" t="s">
        <v>1540</v>
      </c>
    </row>
    <row r="251" spans="1:2" x14ac:dyDescent="0.25">
      <c r="A251" t="s">
        <v>201</v>
      </c>
      <c r="B251" t="s">
        <v>1644</v>
      </c>
    </row>
    <row r="252" spans="1:2" x14ac:dyDescent="0.25">
      <c r="A252" t="s">
        <v>201</v>
      </c>
      <c r="B252" t="s">
        <v>1645</v>
      </c>
    </row>
    <row r="253" spans="1:2" x14ac:dyDescent="0.25">
      <c r="A253" t="s">
        <v>203</v>
      </c>
      <c r="B253" t="s">
        <v>456</v>
      </c>
    </row>
    <row r="254" spans="1:2" x14ac:dyDescent="0.25">
      <c r="A254" t="s">
        <v>203</v>
      </c>
      <c r="B254" t="s">
        <v>1646</v>
      </c>
    </row>
    <row r="255" spans="1:2" x14ac:dyDescent="0.25">
      <c r="A255" t="s">
        <v>201</v>
      </c>
      <c r="B255" t="s">
        <v>1647</v>
      </c>
    </row>
    <row r="256" spans="1:2" x14ac:dyDescent="0.25">
      <c r="A256" t="s">
        <v>201</v>
      </c>
      <c r="B256" t="s">
        <v>309</v>
      </c>
    </row>
    <row r="257" spans="1:2" x14ac:dyDescent="0.25">
      <c r="A257" t="s">
        <v>203</v>
      </c>
      <c r="B257" t="s">
        <v>1648</v>
      </c>
    </row>
    <row r="258" spans="1:2" x14ac:dyDescent="0.25">
      <c r="A258" t="s">
        <v>203</v>
      </c>
      <c r="B258" t="s">
        <v>387</v>
      </c>
    </row>
    <row r="259" spans="1:2" x14ac:dyDescent="0.25">
      <c r="A259" t="s">
        <v>201</v>
      </c>
      <c r="B259" t="s">
        <v>1601</v>
      </c>
    </row>
    <row r="260" spans="1:2" x14ac:dyDescent="0.25">
      <c r="A260" t="s">
        <v>208</v>
      </c>
      <c r="B260" t="s">
        <v>72</v>
      </c>
    </row>
    <row r="261" spans="1:2" x14ac:dyDescent="0.25">
      <c r="A261" t="s">
        <v>201</v>
      </c>
      <c r="B261" t="s">
        <v>1649</v>
      </c>
    </row>
    <row r="262" spans="1:2" x14ac:dyDescent="0.25">
      <c r="A262" t="s">
        <v>208</v>
      </c>
      <c r="B262" t="s">
        <v>1650</v>
      </c>
    </row>
    <row r="263" spans="1:2" x14ac:dyDescent="0.25">
      <c r="A263" t="s">
        <v>201</v>
      </c>
      <c r="B263" t="s">
        <v>1651</v>
      </c>
    </row>
    <row r="264" spans="1:2" x14ac:dyDescent="0.25">
      <c r="A264" t="s">
        <v>203</v>
      </c>
      <c r="B264" t="s">
        <v>278</v>
      </c>
    </row>
    <row r="265" spans="1:2" x14ac:dyDescent="0.25">
      <c r="A265" t="s">
        <v>203</v>
      </c>
      <c r="B265" t="s">
        <v>1540</v>
      </c>
    </row>
    <row r="266" spans="1:2" x14ac:dyDescent="0.25">
      <c r="A266" t="s">
        <v>201</v>
      </c>
      <c r="B266" t="s">
        <v>212</v>
      </c>
    </row>
    <row r="267" spans="1:2" x14ac:dyDescent="0.25">
      <c r="A267" t="s">
        <v>201</v>
      </c>
      <c r="B267" t="s">
        <v>1652</v>
      </c>
    </row>
    <row r="268" spans="1:2" x14ac:dyDescent="0.25">
      <c r="A268" t="s">
        <v>203</v>
      </c>
      <c r="B268" t="s">
        <v>1653</v>
      </c>
    </row>
    <row r="269" spans="1:2" x14ac:dyDescent="0.25">
      <c r="A269" t="s">
        <v>201</v>
      </c>
      <c r="B269" t="s">
        <v>202</v>
      </c>
    </row>
    <row r="270" spans="1:2" x14ac:dyDescent="0.25">
      <c r="A270" t="s">
        <v>203</v>
      </c>
      <c r="B270" t="s">
        <v>1654</v>
      </c>
    </row>
    <row r="271" spans="1:2" x14ac:dyDescent="0.25">
      <c r="A271" t="s">
        <v>203</v>
      </c>
      <c r="B271" t="s">
        <v>399</v>
      </c>
    </row>
    <row r="272" spans="1:2" x14ac:dyDescent="0.25">
      <c r="A272" t="s">
        <v>203</v>
      </c>
      <c r="B272" t="s">
        <v>1655</v>
      </c>
    </row>
    <row r="273" spans="1:2" x14ac:dyDescent="0.25">
      <c r="A273" t="s">
        <v>203</v>
      </c>
      <c r="B273" t="s">
        <v>348</v>
      </c>
    </row>
    <row r="274" spans="1:2" x14ac:dyDescent="0.25">
      <c r="A274" t="s">
        <v>221</v>
      </c>
      <c r="B274" t="s">
        <v>1478</v>
      </c>
    </row>
    <row r="275" spans="1:2" x14ac:dyDescent="0.25">
      <c r="A275" t="s">
        <v>201</v>
      </c>
      <c r="B275" t="s">
        <v>1656</v>
      </c>
    </row>
    <row r="276" spans="1:2" x14ac:dyDescent="0.25">
      <c r="A276" t="s">
        <v>208</v>
      </c>
      <c r="B276" t="s">
        <v>1657</v>
      </c>
    </row>
    <row r="277" spans="1:2" x14ac:dyDescent="0.25">
      <c r="A277" t="s">
        <v>203</v>
      </c>
      <c r="B277" t="s">
        <v>1658</v>
      </c>
    </row>
    <row r="278" spans="1:2" x14ac:dyDescent="0.25">
      <c r="A278" t="s">
        <v>201</v>
      </c>
      <c r="B278" t="s">
        <v>256</v>
      </c>
    </row>
    <row r="279" spans="1:2" x14ac:dyDescent="0.25">
      <c r="A279" t="s">
        <v>221</v>
      </c>
      <c r="B279" t="s">
        <v>1659</v>
      </c>
    </row>
    <row r="280" spans="1:2" x14ac:dyDescent="0.25">
      <c r="A280" t="s">
        <v>201</v>
      </c>
      <c r="B280" t="s">
        <v>1660</v>
      </c>
    </row>
    <row r="281" spans="1:2" x14ac:dyDescent="0.25">
      <c r="A281" t="s">
        <v>203</v>
      </c>
      <c r="B281" t="s">
        <v>198</v>
      </c>
    </row>
    <row r="282" spans="1:2" x14ac:dyDescent="0.25">
      <c r="A282" t="s">
        <v>203</v>
      </c>
      <c r="B282" t="s">
        <v>1661</v>
      </c>
    </row>
    <row r="283" spans="1:2" x14ac:dyDescent="0.25">
      <c r="A283" t="s">
        <v>203</v>
      </c>
      <c r="B283" t="s">
        <v>1662</v>
      </c>
    </row>
    <row r="284" spans="1:2" x14ac:dyDescent="0.25">
      <c r="A284" t="s">
        <v>203</v>
      </c>
      <c r="B284" t="s">
        <v>278</v>
      </c>
    </row>
    <row r="285" spans="1:2" x14ac:dyDescent="0.25">
      <c r="A285" t="s">
        <v>203</v>
      </c>
      <c r="B285" t="s">
        <v>198</v>
      </c>
    </row>
    <row r="286" spans="1:2" x14ac:dyDescent="0.25">
      <c r="A286" t="s">
        <v>201</v>
      </c>
      <c r="B286" t="s">
        <v>964</v>
      </c>
    </row>
    <row r="287" spans="1:2" x14ac:dyDescent="0.25">
      <c r="A287" t="s">
        <v>203</v>
      </c>
      <c r="B287" t="s">
        <v>74</v>
      </c>
    </row>
    <row r="288" spans="1:2" x14ac:dyDescent="0.25">
      <c r="A288" t="s">
        <v>203</v>
      </c>
      <c r="B288" t="s">
        <v>1663</v>
      </c>
    </row>
    <row r="289" spans="1:2" x14ac:dyDescent="0.25">
      <c r="A289" t="s">
        <v>203</v>
      </c>
      <c r="B289" t="s">
        <v>1664</v>
      </c>
    </row>
    <row r="290" spans="1:2" x14ac:dyDescent="0.25">
      <c r="A290" t="s">
        <v>201</v>
      </c>
      <c r="B290" t="s">
        <v>1665</v>
      </c>
    </row>
    <row r="291" spans="1:2" x14ac:dyDescent="0.25">
      <c r="A291" t="s">
        <v>221</v>
      </c>
      <c r="B291" t="s">
        <v>962</v>
      </c>
    </row>
    <row r="292" spans="1:2" x14ac:dyDescent="0.25">
      <c r="A292" t="s">
        <v>203</v>
      </c>
      <c r="B292" t="s">
        <v>278</v>
      </c>
    </row>
    <row r="293" spans="1:2" x14ac:dyDescent="0.25">
      <c r="A293" t="s">
        <v>201</v>
      </c>
      <c r="B293" t="s">
        <v>1666</v>
      </c>
    </row>
    <row r="294" spans="1:2" x14ac:dyDescent="0.25">
      <c r="A294" t="s">
        <v>203</v>
      </c>
      <c r="B294" t="s">
        <v>53</v>
      </c>
    </row>
    <row r="295" spans="1:2" x14ac:dyDescent="0.25">
      <c r="A295" t="s">
        <v>203</v>
      </c>
      <c r="B295" t="s">
        <v>1204</v>
      </c>
    </row>
    <row r="296" spans="1:2" x14ac:dyDescent="0.25">
      <c r="A296" t="s">
        <v>203</v>
      </c>
      <c r="B296" t="s">
        <v>74</v>
      </c>
    </row>
    <row r="297" spans="1:2" x14ac:dyDescent="0.25">
      <c r="A297" t="s">
        <v>203</v>
      </c>
      <c r="B297" t="s">
        <v>213</v>
      </c>
    </row>
    <row r="298" spans="1:2" x14ac:dyDescent="0.25">
      <c r="A298" t="s">
        <v>203</v>
      </c>
      <c r="B298" t="s">
        <v>82</v>
      </c>
    </row>
    <row r="299" spans="1:2" x14ac:dyDescent="0.25">
      <c r="A299" t="s">
        <v>201</v>
      </c>
      <c r="B299" t="s">
        <v>1463</v>
      </c>
    </row>
    <row r="300" spans="1:2" x14ac:dyDescent="0.25">
      <c r="A300" t="s">
        <v>201</v>
      </c>
      <c r="B300" t="s">
        <v>263</v>
      </c>
    </row>
    <row r="301" spans="1:2" x14ac:dyDescent="0.25">
      <c r="A301" t="s">
        <v>201</v>
      </c>
      <c r="B301" t="s">
        <v>415</v>
      </c>
    </row>
    <row r="302" spans="1:2" x14ac:dyDescent="0.25">
      <c r="A302" t="s">
        <v>221</v>
      </c>
      <c r="B302" t="s">
        <v>1667</v>
      </c>
    </row>
    <row r="303" spans="1:2" x14ac:dyDescent="0.25">
      <c r="A303" t="s">
        <v>203</v>
      </c>
      <c r="B303" t="s">
        <v>234</v>
      </c>
    </row>
    <row r="304" spans="1:2" x14ac:dyDescent="0.25">
      <c r="A304" t="s">
        <v>203</v>
      </c>
      <c r="B304" t="s">
        <v>206</v>
      </c>
    </row>
    <row r="305" spans="1:2" x14ac:dyDescent="0.25">
      <c r="A305" t="s">
        <v>221</v>
      </c>
      <c r="B305" t="s">
        <v>1668</v>
      </c>
    </row>
    <row r="306" spans="1:2" x14ac:dyDescent="0.25">
      <c r="A306" t="s">
        <v>201</v>
      </c>
      <c r="B306" t="s">
        <v>1669</v>
      </c>
    </row>
    <row r="307" spans="1:2" x14ac:dyDescent="0.25">
      <c r="A307" t="s">
        <v>203</v>
      </c>
      <c r="B307" t="s">
        <v>1670</v>
      </c>
    </row>
    <row r="308" spans="1:2" x14ac:dyDescent="0.25">
      <c r="A308" t="s">
        <v>203</v>
      </c>
      <c r="B308" t="s">
        <v>419</v>
      </c>
    </row>
    <row r="309" spans="1:2" x14ac:dyDescent="0.25">
      <c r="A309" t="s">
        <v>203</v>
      </c>
      <c r="B309" t="s">
        <v>1671</v>
      </c>
    </row>
    <row r="310" spans="1:2" x14ac:dyDescent="0.25">
      <c r="A310" t="s">
        <v>203</v>
      </c>
      <c r="B310" t="s">
        <v>198</v>
      </c>
    </row>
    <row r="311" spans="1:2" x14ac:dyDescent="0.25">
      <c r="A311" t="s">
        <v>201</v>
      </c>
      <c r="B311" t="s">
        <v>1672</v>
      </c>
    </row>
    <row r="312" spans="1:2" x14ac:dyDescent="0.25">
      <c r="A312" t="s">
        <v>203</v>
      </c>
      <c r="B312" t="s">
        <v>1673</v>
      </c>
    </row>
    <row r="313" spans="1:2" x14ac:dyDescent="0.25">
      <c r="A313" t="s">
        <v>203</v>
      </c>
      <c r="B313" t="s">
        <v>1674</v>
      </c>
    </row>
    <row r="314" spans="1:2" x14ac:dyDescent="0.25">
      <c r="A314" t="s">
        <v>203</v>
      </c>
      <c r="B314" t="s">
        <v>218</v>
      </c>
    </row>
    <row r="315" spans="1:2" x14ac:dyDescent="0.25">
      <c r="A315" t="s">
        <v>203</v>
      </c>
      <c r="B315" t="s">
        <v>214</v>
      </c>
    </row>
    <row r="316" spans="1:2" x14ac:dyDescent="0.25">
      <c r="A316" t="s">
        <v>203</v>
      </c>
      <c r="B316" t="s">
        <v>198</v>
      </c>
    </row>
    <row r="317" spans="1:2" x14ac:dyDescent="0.25">
      <c r="A317" t="s">
        <v>203</v>
      </c>
      <c r="B317" t="s">
        <v>229</v>
      </c>
    </row>
    <row r="318" spans="1:2" x14ac:dyDescent="0.25">
      <c r="A318" t="s">
        <v>203</v>
      </c>
      <c r="B318" t="s">
        <v>1675</v>
      </c>
    </row>
    <row r="319" spans="1:2" x14ac:dyDescent="0.25">
      <c r="A319" t="s">
        <v>203</v>
      </c>
      <c r="B319" t="s">
        <v>1676</v>
      </c>
    </row>
    <row r="320" spans="1:2" x14ac:dyDescent="0.25">
      <c r="A320" t="s">
        <v>226</v>
      </c>
      <c r="B320" t="s">
        <v>1677</v>
      </c>
    </row>
    <row r="321" spans="1:2" x14ac:dyDescent="0.25">
      <c r="A321" t="s">
        <v>201</v>
      </c>
      <c r="B321" t="s">
        <v>1678</v>
      </c>
    </row>
    <row r="322" spans="1:2" x14ac:dyDescent="0.25">
      <c r="A322" t="s">
        <v>201</v>
      </c>
      <c r="B322" t="s">
        <v>212</v>
      </c>
    </row>
    <row r="323" spans="1:2" x14ac:dyDescent="0.25">
      <c r="A323" t="s">
        <v>208</v>
      </c>
      <c r="B323" t="s">
        <v>234</v>
      </c>
    </row>
    <row r="324" spans="1:2" x14ac:dyDescent="0.25">
      <c r="A324" t="s">
        <v>208</v>
      </c>
      <c r="B324" t="s">
        <v>1679</v>
      </c>
    </row>
    <row r="325" spans="1:2" x14ac:dyDescent="0.25">
      <c r="A325" t="s">
        <v>226</v>
      </c>
      <c r="B325" t="s">
        <v>1680</v>
      </c>
    </row>
    <row r="326" spans="1:2" x14ac:dyDescent="0.25">
      <c r="A326" t="s">
        <v>201</v>
      </c>
      <c r="B326" t="s">
        <v>1420</v>
      </c>
    </row>
    <row r="327" spans="1:2" x14ac:dyDescent="0.25">
      <c r="A327" t="s">
        <v>208</v>
      </c>
      <c r="B327" t="s">
        <v>1681</v>
      </c>
    </row>
    <row r="328" spans="1:2" x14ac:dyDescent="0.25">
      <c r="A328" t="s">
        <v>208</v>
      </c>
      <c r="B328" t="s">
        <v>1682</v>
      </c>
    </row>
    <row r="329" spans="1:2" x14ac:dyDescent="0.25">
      <c r="A329" t="s">
        <v>201</v>
      </c>
      <c r="B329" t="s">
        <v>1573</v>
      </c>
    </row>
    <row r="330" spans="1:2" x14ac:dyDescent="0.25">
      <c r="A330" t="s">
        <v>203</v>
      </c>
      <c r="B330" t="s">
        <v>213</v>
      </c>
    </row>
    <row r="331" spans="1:2" x14ac:dyDescent="0.25">
      <c r="A331" t="s">
        <v>203</v>
      </c>
      <c r="B331" t="s">
        <v>206</v>
      </c>
    </row>
    <row r="332" spans="1:2" x14ac:dyDescent="0.25">
      <c r="A332" t="s">
        <v>226</v>
      </c>
      <c r="B332" t="s">
        <v>278</v>
      </c>
    </row>
    <row r="333" spans="1:2" x14ac:dyDescent="0.25">
      <c r="A333" t="s">
        <v>201</v>
      </c>
      <c r="B333" t="s">
        <v>1683</v>
      </c>
    </row>
    <row r="334" spans="1:2" x14ac:dyDescent="0.25">
      <c r="A334" t="s">
        <v>201</v>
      </c>
      <c r="B334" t="s">
        <v>1684</v>
      </c>
    </row>
    <row r="335" spans="1:2" x14ac:dyDescent="0.25">
      <c r="A335" t="s">
        <v>203</v>
      </c>
      <c r="B335" t="s">
        <v>1685</v>
      </c>
    </row>
    <row r="336" spans="1:2" x14ac:dyDescent="0.25">
      <c r="A336" t="s">
        <v>221</v>
      </c>
      <c r="B336" t="s">
        <v>1683</v>
      </c>
    </row>
    <row r="337" spans="1:2" x14ac:dyDescent="0.25">
      <c r="A337" t="s">
        <v>203</v>
      </c>
      <c r="B337" t="s">
        <v>1686</v>
      </c>
    </row>
    <row r="338" spans="1:2" x14ac:dyDescent="0.25">
      <c r="A338" t="s">
        <v>203</v>
      </c>
      <c r="B338" t="s">
        <v>1687</v>
      </c>
    </row>
    <row r="339" spans="1:2" x14ac:dyDescent="0.25">
      <c r="A339" t="s">
        <v>201</v>
      </c>
      <c r="B339" t="s">
        <v>1688</v>
      </c>
    </row>
    <row r="340" spans="1:2" x14ac:dyDescent="0.25">
      <c r="A340" t="s">
        <v>221</v>
      </c>
      <c r="B340" t="s">
        <v>1689</v>
      </c>
    </row>
    <row r="341" spans="1:2" x14ac:dyDescent="0.25">
      <c r="A341" t="s">
        <v>201</v>
      </c>
      <c r="B341" t="s">
        <v>739</v>
      </c>
    </row>
    <row r="342" spans="1:2" x14ac:dyDescent="0.25">
      <c r="A342" t="s">
        <v>201</v>
      </c>
      <c r="B342" t="s">
        <v>309</v>
      </c>
    </row>
    <row r="343" spans="1:2" x14ac:dyDescent="0.25">
      <c r="A343" t="s">
        <v>226</v>
      </c>
      <c r="B343" t="s">
        <v>1690</v>
      </c>
    </row>
    <row r="344" spans="1:2" x14ac:dyDescent="0.25">
      <c r="A344" t="s">
        <v>203</v>
      </c>
      <c r="B344" t="s">
        <v>82</v>
      </c>
    </row>
    <row r="345" spans="1:2" x14ac:dyDescent="0.25">
      <c r="A345" t="s">
        <v>201</v>
      </c>
      <c r="B345" t="s">
        <v>1691</v>
      </c>
    </row>
    <row r="346" spans="1:2" x14ac:dyDescent="0.25">
      <c r="A346" t="s">
        <v>203</v>
      </c>
      <c r="B346" t="s">
        <v>212</v>
      </c>
    </row>
    <row r="347" spans="1:2" x14ac:dyDescent="0.25">
      <c r="A347" t="s">
        <v>208</v>
      </c>
      <c r="B347" t="s">
        <v>1692</v>
      </c>
    </row>
    <row r="348" spans="1:2" x14ac:dyDescent="0.25">
      <c r="A348" t="s">
        <v>203</v>
      </c>
      <c r="B348" t="s">
        <v>1693</v>
      </c>
    </row>
    <row r="349" spans="1:2" x14ac:dyDescent="0.25">
      <c r="A349" t="s">
        <v>201</v>
      </c>
      <c r="B349" t="s">
        <v>212</v>
      </c>
    </row>
    <row r="350" spans="1:2" x14ac:dyDescent="0.25">
      <c r="A350" t="s">
        <v>201</v>
      </c>
      <c r="B350" t="s">
        <v>1694</v>
      </c>
    </row>
    <row r="351" spans="1:2" x14ac:dyDescent="0.25">
      <c r="A351" t="s">
        <v>201</v>
      </c>
      <c r="B351" t="s">
        <v>1695</v>
      </c>
    </row>
    <row r="352" spans="1:2" x14ac:dyDescent="0.25">
      <c r="A352" t="s">
        <v>201</v>
      </c>
      <c r="B352" t="s">
        <v>1696</v>
      </c>
    </row>
    <row r="353" spans="1:2" x14ac:dyDescent="0.25">
      <c r="A353" t="s">
        <v>203</v>
      </c>
      <c r="B353" t="s">
        <v>214</v>
      </c>
    </row>
    <row r="354" spans="1:2" x14ac:dyDescent="0.25">
      <c r="A354" t="s">
        <v>221</v>
      </c>
      <c r="B354" t="s">
        <v>375</v>
      </c>
    </row>
    <row r="355" spans="1:2" x14ac:dyDescent="0.25">
      <c r="A355" t="s">
        <v>203</v>
      </c>
      <c r="B355" t="s">
        <v>331</v>
      </c>
    </row>
    <row r="356" spans="1:2" x14ac:dyDescent="0.25">
      <c r="A356" t="s">
        <v>203</v>
      </c>
      <c r="B356" t="s">
        <v>447</v>
      </c>
    </row>
    <row r="357" spans="1:2" x14ac:dyDescent="0.25">
      <c r="A357" t="s">
        <v>208</v>
      </c>
      <c r="B357" t="s">
        <v>1697</v>
      </c>
    </row>
    <row r="358" spans="1:2" x14ac:dyDescent="0.25">
      <c r="A358" t="s">
        <v>201</v>
      </c>
      <c r="B358" t="s">
        <v>263</v>
      </c>
    </row>
    <row r="359" spans="1:2" x14ac:dyDescent="0.25">
      <c r="A359" t="s">
        <v>203</v>
      </c>
      <c r="B359" t="s">
        <v>1698</v>
      </c>
    </row>
    <row r="360" spans="1:2" x14ac:dyDescent="0.25">
      <c r="A360" t="s">
        <v>208</v>
      </c>
      <c r="B360" t="s">
        <v>1621</v>
      </c>
    </row>
    <row r="361" spans="1:2" x14ac:dyDescent="0.25">
      <c r="A361" t="s">
        <v>201</v>
      </c>
      <c r="B361" t="s">
        <v>1699</v>
      </c>
    </row>
    <row r="362" spans="1:2" x14ac:dyDescent="0.25">
      <c r="A362" t="s">
        <v>201</v>
      </c>
      <c r="B362" t="s">
        <v>1700</v>
      </c>
    </row>
    <row r="363" spans="1:2" x14ac:dyDescent="0.25">
      <c r="A363" t="s">
        <v>201</v>
      </c>
      <c r="B363" t="s">
        <v>1701</v>
      </c>
    </row>
    <row r="364" spans="1:2" x14ac:dyDescent="0.25">
      <c r="A364" t="s">
        <v>201</v>
      </c>
      <c r="B364" t="s">
        <v>212</v>
      </c>
    </row>
    <row r="365" spans="1:2" x14ac:dyDescent="0.25">
      <c r="A365" t="s">
        <v>201</v>
      </c>
      <c r="B365" t="s">
        <v>1702</v>
      </c>
    </row>
    <row r="366" spans="1:2" x14ac:dyDescent="0.25">
      <c r="A366" t="s">
        <v>203</v>
      </c>
      <c r="B366" t="s">
        <v>1703</v>
      </c>
    </row>
    <row r="367" spans="1:2" x14ac:dyDescent="0.25">
      <c r="A367" t="s">
        <v>203</v>
      </c>
      <c r="B367" t="s">
        <v>234</v>
      </c>
    </row>
    <row r="368" spans="1:2" x14ac:dyDescent="0.25">
      <c r="A368" t="s">
        <v>203</v>
      </c>
      <c r="B368" t="s">
        <v>278</v>
      </c>
    </row>
    <row r="369" spans="1:2" x14ac:dyDescent="0.25">
      <c r="A369" t="s">
        <v>201</v>
      </c>
      <c r="B369" t="s">
        <v>1704</v>
      </c>
    </row>
    <row r="370" spans="1:2" x14ac:dyDescent="0.25">
      <c r="A370" t="s">
        <v>201</v>
      </c>
      <c r="B370" t="s">
        <v>1705</v>
      </c>
    </row>
    <row r="371" spans="1:2" x14ac:dyDescent="0.25">
      <c r="A371" t="s">
        <v>203</v>
      </c>
      <c r="B371" t="s">
        <v>263</v>
      </c>
    </row>
    <row r="372" spans="1:2" x14ac:dyDescent="0.25">
      <c r="A372" t="s">
        <v>201</v>
      </c>
      <c r="B372" t="s">
        <v>212</v>
      </c>
    </row>
    <row r="373" spans="1:2" x14ac:dyDescent="0.25">
      <c r="A373" t="s">
        <v>203</v>
      </c>
      <c r="B373" t="s">
        <v>74</v>
      </c>
    </row>
    <row r="374" spans="1:2" x14ac:dyDescent="0.25">
      <c r="A374" t="s">
        <v>201</v>
      </c>
      <c r="B374" t="s">
        <v>1706</v>
      </c>
    </row>
    <row r="375" spans="1:2" x14ac:dyDescent="0.25">
      <c r="A375" t="s">
        <v>201</v>
      </c>
      <c r="B375" t="s">
        <v>1707</v>
      </c>
    </row>
    <row r="376" spans="1:2" x14ac:dyDescent="0.25">
      <c r="A376" t="s">
        <v>203</v>
      </c>
      <c r="B376" t="s">
        <v>331</v>
      </c>
    </row>
    <row r="377" spans="1:2" x14ac:dyDescent="0.25">
      <c r="A377" t="s">
        <v>221</v>
      </c>
      <c r="B377" t="s">
        <v>1708</v>
      </c>
    </row>
    <row r="378" spans="1:2" x14ac:dyDescent="0.25">
      <c r="A378" t="s">
        <v>201</v>
      </c>
      <c r="B378" t="s">
        <v>1709</v>
      </c>
    </row>
    <row r="379" spans="1:2" x14ac:dyDescent="0.25">
      <c r="A379" t="s">
        <v>203</v>
      </c>
      <c r="B379" t="s">
        <v>1710</v>
      </c>
    </row>
    <row r="380" spans="1:2" x14ac:dyDescent="0.25">
      <c r="A380" t="s">
        <v>203</v>
      </c>
      <c r="B380" t="s">
        <v>1711</v>
      </c>
    </row>
    <row r="381" spans="1:2" x14ac:dyDescent="0.25">
      <c r="A381" t="s">
        <v>203</v>
      </c>
      <c r="B381" t="s">
        <v>1712</v>
      </c>
    </row>
    <row r="382" spans="1:2" x14ac:dyDescent="0.25">
      <c r="A382" t="s">
        <v>203</v>
      </c>
      <c r="B382" t="s">
        <v>1713</v>
      </c>
    </row>
    <row r="383" spans="1:2" x14ac:dyDescent="0.25">
      <c r="A383" t="s">
        <v>201</v>
      </c>
      <c r="B383" t="s">
        <v>1714</v>
      </c>
    </row>
    <row r="384" spans="1:2" x14ac:dyDescent="0.25">
      <c r="A384" t="s">
        <v>221</v>
      </c>
      <c r="B384" t="s">
        <v>1715</v>
      </c>
    </row>
    <row r="385" spans="1:2" x14ac:dyDescent="0.25">
      <c r="A385" t="s">
        <v>221</v>
      </c>
      <c r="B385" t="s">
        <v>375</v>
      </c>
    </row>
    <row r="386" spans="1:2" x14ac:dyDescent="0.25">
      <c r="A386" t="s">
        <v>201</v>
      </c>
      <c r="B386" t="s">
        <v>1716</v>
      </c>
    </row>
    <row r="387" spans="1:2" x14ac:dyDescent="0.25">
      <c r="A387" t="s">
        <v>203</v>
      </c>
      <c r="B387" t="s">
        <v>278</v>
      </c>
    </row>
    <row r="388" spans="1:2" x14ac:dyDescent="0.25">
      <c r="A388" t="s">
        <v>203</v>
      </c>
      <c r="B388" t="s">
        <v>74</v>
      </c>
    </row>
    <row r="389" spans="1:2" x14ac:dyDescent="0.25">
      <c r="A389" t="s">
        <v>201</v>
      </c>
      <c r="B389" t="s">
        <v>1717</v>
      </c>
    </row>
    <row r="390" spans="1:2" x14ac:dyDescent="0.25">
      <c r="A390" t="s">
        <v>201</v>
      </c>
      <c r="B390" t="s">
        <v>1718</v>
      </c>
    </row>
    <row r="391" spans="1:2" x14ac:dyDescent="0.25">
      <c r="A391" t="s">
        <v>208</v>
      </c>
      <c r="B391" t="s">
        <v>1719</v>
      </c>
    </row>
    <row r="392" spans="1:2" x14ac:dyDescent="0.25">
      <c r="A392" t="s">
        <v>201</v>
      </c>
      <c r="B392" t="s">
        <v>1720</v>
      </c>
    </row>
    <row r="393" spans="1:2" x14ac:dyDescent="0.25">
      <c r="A393" t="s">
        <v>201</v>
      </c>
      <c r="B393" t="s">
        <v>1721</v>
      </c>
    </row>
    <row r="394" spans="1:2" x14ac:dyDescent="0.25">
      <c r="A394" t="s">
        <v>203</v>
      </c>
      <c r="B394" t="s">
        <v>830</v>
      </c>
    </row>
    <row r="395" spans="1:2" x14ac:dyDescent="0.25">
      <c r="A395" t="s">
        <v>221</v>
      </c>
      <c r="B395" t="s">
        <v>1722</v>
      </c>
    </row>
    <row r="396" spans="1:2" x14ac:dyDescent="0.25">
      <c r="A396" t="s">
        <v>201</v>
      </c>
      <c r="B396" t="s">
        <v>251</v>
      </c>
    </row>
    <row r="397" spans="1:2" x14ac:dyDescent="0.25">
      <c r="A397" t="s">
        <v>201</v>
      </c>
      <c r="B397" t="s">
        <v>1723</v>
      </c>
    </row>
    <row r="398" spans="1:2" x14ac:dyDescent="0.25">
      <c r="A398" t="s">
        <v>203</v>
      </c>
      <c r="B398" t="s">
        <v>263</v>
      </c>
    </row>
    <row r="399" spans="1:2" x14ac:dyDescent="0.25">
      <c r="A399" t="s">
        <v>203</v>
      </c>
      <c r="B399" t="s">
        <v>206</v>
      </c>
    </row>
    <row r="400" spans="1:2" x14ac:dyDescent="0.25">
      <c r="A400" t="s">
        <v>201</v>
      </c>
      <c r="B400" t="s">
        <v>1724</v>
      </c>
    </row>
    <row r="401" spans="1:2" x14ac:dyDescent="0.25">
      <c r="A401" t="s">
        <v>201</v>
      </c>
      <c r="B401" t="s">
        <v>229</v>
      </c>
    </row>
    <row r="402" spans="1:2" x14ac:dyDescent="0.25">
      <c r="A402" t="s">
        <v>203</v>
      </c>
      <c r="B402" t="s">
        <v>1725</v>
      </c>
    </row>
    <row r="403" spans="1:2" x14ac:dyDescent="0.25">
      <c r="A403" t="s">
        <v>203</v>
      </c>
      <c r="B403" t="s">
        <v>471</v>
      </c>
    </row>
    <row r="404" spans="1:2" x14ac:dyDescent="0.25">
      <c r="A404" t="s">
        <v>203</v>
      </c>
      <c r="B404" t="s">
        <v>924</v>
      </c>
    </row>
    <row r="405" spans="1:2" x14ac:dyDescent="0.25">
      <c r="A405" t="s">
        <v>203</v>
      </c>
      <c r="B405" t="s">
        <v>198</v>
      </c>
    </row>
    <row r="406" spans="1:2" x14ac:dyDescent="0.25">
      <c r="A406" t="s">
        <v>201</v>
      </c>
      <c r="B406" t="s">
        <v>46</v>
      </c>
    </row>
    <row r="407" spans="1:2" x14ac:dyDescent="0.25">
      <c r="A407" t="s">
        <v>208</v>
      </c>
      <c r="B407" t="s">
        <v>74</v>
      </c>
    </row>
    <row r="408" spans="1:2" x14ac:dyDescent="0.25">
      <c r="A408" t="s">
        <v>203</v>
      </c>
      <c r="B408" t="s">
        <v>1726</v>
      </c>
    </row>
    <row r="409" spans="1:2" x14ac:dyDescent="0.25">
      <c r="A409" t="s">
        <v>203</v>
      </c>
      <c r="B409" t="s">
        <v>198</v>
      </c>
    </row>
    <row r="410" spans="1:2" x14ac:dyDescent="0.25">
      <c r="A410" t="s">
        <v>201</v>
      </c>
      <c r="B410" t="s">
        <v>1727</v>
      </c>
    </row>
    <row r="411" spans="1:2" x14ac:dyDescent="0.25">
      <c r="A411" t="s">
        <v>201</v>
      </c>
      <c r="B411" t="s">
        <v>1707</v>
      </c>
    </row>
    <row r="412" spans="1:2" x14ac:dyDescent="0.25">
      <c r="A412" t="s">
        <v>201</v>
      </c>
      <c r="B412" t="s">
        <v>1728</v>
      </c>
    </row>
    <row r="413" spans="1:2" x14ac:dyDescent="0.25">
      <c r="A413" t="s">
        <v>203</v>
      </c>
      <c r="B413" t="s">
        <v>212</v>
      </c>
    </row>
    <row r="414" spans="1:2" x14ac:dyDescent="0.25">
      <c r="A414" t="s">
        <v>203</v>
      </c>
      <c r="B414" t="s">
        <v>1729</v>
      </c>
    </row>
    <row r="415" spans="1:2" x14ac:dyDescent="0.25">
      <c r="A415" t="s">
        <v>221</v>
      </c>
      <c r="B415" t="s">
        <v>1730</v>
      </c>
    </row>
    <row r="416" spans="1:2" x14ac:dyDescent="0.25">
      <c r="A416" t="s">
        <v>201</v>
      </c>
      <c r="B416" t="s">
        <v>1731</v>
      </c>
    </row>
    <row r="417" spans="1:2" x14ac:dyDescent="0.25">
      <c r="A417" t="s">
        <v>203</v>
      </c>
      <c r="B417" t="s">
        <v>198</v>
      </c>
    </row>
    <row r="418" spans="1:2" x14ac:dyDescent="0.25">
      <c r="A418" t="s">
        <v>226</v>
      </c>
      <c r="B418" t="s">
        <v>1732</v>
      </c>
    </row>
    <row r="419" spans="1:2" x14ac:dyDescent="0.25">
      <c r="A419" t="s">
        <v>203</v>
      </c>
      <c r="B419" t="s">
        <v>1733</v>
      </c>
    </row>
    <row r="420" spans="1:2" x14ac:dyDescent="0.25">
      <c r="A420" t="s">
        <v>201</v>
      </c>
      <c r="B420" t="s">
        <v>1734</v>
      </c>
    </row>
    <row r="421" spans="1:2" x14ac:dyDescent="0.25">
      <c r="A421" t="s">
        <v>221</v>
      </c>
      <c r="B421" t="s">
        <v>484</v>
      </c>
    </row>
    <row r="422" spans="1:2" x14ac:dyDescent="0.25">
      <c r="A422" t="s">
        <v>201</v>
      </c>
      <c r="B422" t="s">
        <v>251</v>
      </c>
    </row>
    <row r="423" spans="1:2" x14ac:dyDescent="0.25">
      <c r="A423" t="s">
        <v>201</v>
      </c>
      <c r="B423" t="s">
        <v>934</v>
      </c>
    </row>
    <row r="424" spans="1:2" x14ac:dyDescent="0.25">
      <c r="A424" t="s">
        <v>226</v>
      </c>
      <c r="B424" t="s">
        <v>1735</v>
      </c>
    </row>
    <row r="425" spans="1:2" x14ac:dyDescent="0.25">
      <c r="A425" t="s">
        <v>208</v>
      </c>
      <c r="B425" t="s">
        <v>1736</v>
      </c>
    </row>
    <row r="426" spans="1:2" x14ac:dyDescent="0.25">
      <c r="A426" t="s">
        <v>203</v>
      </c>
      <c r="B426" t="s">
        <v>1737</v>
      </c>
    </row>
    <row r="427" spans="1:2" x14ac:dyDescent="0.25">
      <c r="A427" t="s">
        <v>203</v>
      </c>
      <c r="B427" t="s">
        <v>1738</v>
      </c>
    </row>
    <row r="428" spans="1:2" x14ac:dyDescent="0.25">
      <c r="A428" t="s">
        <v>201</v>
      </c>
      <c r="B428" t="s">
        <v>1715</v>
      </c>
    </row>
    <row r="429" spans="1:2" x14ac:dyDescent="0.25">
      <c r="A429" t="s">
        <v>201</v>
      </c>
      <c r="B429" t="s">
        <v>1739</v>
      </c>
    </row>
    <row r="430" spans="1:2" x14ac:dyDescent="0.25">
      <c r="A430" t="s">
        <v>201</v>
      </c>
      <c r="B430" t="s">
        <v>1740</v>
      </c>
    </row>
    <row r="431" spans="1:2" x14ac:dyDescent="0.25">
      <c r="A431" t="s">
        <v>201</v>
      </c>
      <c r="B431" t="s">
        <v>1418</v>
      </c>
    </row>
    <row r="432" spans="1:2" x14ac:dyDescent="0.25">
      <c r="A432" t="s">
        <v>203</v>
      </c>
      <c r="B432" t="s">
        <v>1741</v>
      </c>
    </row>
    <row r="433" spans="1:2" x14ac:dyDescent="0.25">
      <c r="A433" t="s">
        <v>203</v>
      </c>
      <c r="B433" t="s">
        <v>535</v>
      </c>
    </row>
    <row r="434" spans="1:2" x14ac:dyDescent="0.25">
      <c r="A434" t="s">
        <v>201</v>
      </c>
      <c r="B434" t="s">
        <v>309</v>
      </c>
    </row>
    <row r="435" spans="1:2" x14ac:dyDescent="0.25">
      <c r="A435" t="s">
        <v>201</v>
      </c>
      <c r="B435" t="s">
        <v>1742</v>
      </c>
    </row>
    <row r="436" spans="1:2" x14ac:dyDescent="0.25">
      <c r="A436" t="s">
        <v>201</v>
      </c>
      <c r="B436" t="s">
        <v>1540</v>
      </c>
    </row>
    <row r="437" spans="1:2" x14ac:dyDescent="0.25">
      <c r="A437" t="s">
        <v>203</v>
      </c>
      <c r="B437" t="s">
        <v>242</v>
      </c>
    </row>
    <row r="438" spans="1:2" x14ac:dyDescent="0.25">
      <c r="A438" t="s">
        <v>203</v>
      </c>
      <c r="B438" t="s">
        <v>1743</v>
      </c>
    </row>
    <row r="439" spans="1:2" x14ac:dyDescent="0.25">
      <c r="A439" t="s">
        <v>201</v>
      </c>
      <c r="B439" t="s">
        <v>309</v>
      </c>
    </row>
    <row r="440" spans="1:2" x14ac:dyDescent="0.25">
      <c r="A440" t="s">
        <v>201</v>
      </c>
      <c r="B440" t="s">
        <v>398</v>
      </c>
    </row>
    <row r="441" spans="1:2" x14ac:dyDescent="0.25">
      <c r="A441" t="s">
        <v>201</v>
      </c>
      <c r="B441" t="s">
        <v>1744</v>
      </c>
    </row>
    <row r="442" spans="1:2" x14ac:dyDescent="0.25">
      <c r="A442" t="s">
        <v>203</v>
      </c>
      <c r="B442" t="s">
        <v>946</v>
      </c>
    </row>
    <row r="443" spans="1:2" x14ac:dyDescent="0.25">
      <c r="A443" t="s">
        <v>203</v>
      </c>
      <c r="B443" t="s">
        <v>1745</v>
      </c>
    </row>
    <row r="444" spans="1:2" x14ac:dyDescent="0.25">
      <c r="A444" t="s">
        <v>201</v>
      </c>
      <c r="B444" t="s">
        <v>152</v>
      </c>
    </row>
    <row r="445" spans="1:2" x14ac:dyDescent="0.25">
      <c r="A445" t="s">
        <v>203</v>
      </c>
      <c r="B445" t="s">
        <v>1746</v>
      </c>
    </row>
    <row r="446" spans="1:2" x14ac:dyDescent="0.25">
      <c r="A446" t="s">
        <v>208</v>
      </c>
      <c r="B446" t="s">
        <v>1747</v>
      </c>
    </row>
    <row r="447" spans="1:2" x14ac:dyDescent="0.25">
      <c r="A447" t="s">
        <v>201</v>
      </c>
      <c r="B447" t="s">
        <v>1748</v>
      </c>
    </row>
    <row r="448" spans="1:2" x14ac:dyDescent="0.25">
      <c r="A448" t="s">
        <v>203</v>
      </c>
      <c r="B448" t="s">
        <v>203</v>
      </c>
    </row>
    <row r="449" spans="1:2" x14ac:dyDescent="0.25">
      <c r="A449" t="s">
        <v>203</v>
      </c>
      <c r="B449" t="s">
        <v>206</v>
      </c>
    </row>
    <row r="450" spans="1:2" x14ac:dyDescent="0.25">
      <c r="A450" t="s">
        <v>201</v>
      </c>
      <c r="B450" t="s">
        <v>1749</v>
      </c>
    </row>
    <row r="451" spans="1:2" x14ac:dyDescent="0.25">
      <c r="A451" t="s">
        <v>203</v>
      </c>
      <c r="B451" t="s">
        <v>1750</v>
      </c>
    </row>
    <row r="452" spans="1:2" x14ac:dyDescent="0.25">
      <c r="A452" t="s">
        <v>201</v>
      </c>
      <c r="B452" t="s">
        <v>1751</v>
      </c>
    </row>
    <row r="453" spans="1:2" x14ac:dyDescent="0.25">
      <c r="A453" t="s">
        <v>203</v>
      </c>
      <c r="B453" t="s">
        <v>1752</v>
      </c>
    </row>
    <row r="454" spans="1:2" x14ac:dyDescent="0.25">
      <c r="A454" t="s">
        <v>221</v>
      </c>
      <c r="B454" t="s">
        <v>1753</v>
      </c>
    </row>
    <row r="455" spans="1:2" x14ac:dyDescent="0.25">
      <c r="A455" t="s">
        <v>203</v>
      </c>
      <c r="B455" t="s">
        <v>1754</v>
      </c>
    </row>
    <row r="456" spans="1:2" x14ac:dyDescent="0.25">
      <c r="A456" t="s">
        <v>201</v>
      </c>
      <c r="B456" t="s">
        <v>1755</v>
      </c>
    </row>
    <row r="457" spans="1:2" x14ac:dyDescent="0.25">
      <c r="A457" t="s">
        <v>203</v>
      </c>
      <c r="B457" t="s">
        <v>1756</v>
      </c>
    </row>
    <row r="458" spans="1:2" x14ac:dyDescent="0.25">
      <c r="A458" t="s">
        <v>201</v>
      </c>
      <c r="B458" t="s">
        <v>1757</v>
      </c>
    </row>
    <row r="459" spans="1:2" x14ac:dyDescent="0.25">
      <c r="A459" t="s">
        <v>201</v>
      </c>
      <c r="B459" t="s">
        <v>1758</v>
      </c>
    </row>
    <row r="460" spans="1:2" x14ac:dyDescent="0.25">
      <c r="A460" t="s">
        <v>226</v>
      </c>
      <c r="B460" t="s">
        <v>1759</v>
      </c>
    </row>
    <row r="461" spans="1:2" x14ac:dyDescent="0.25">
      <c r="A461" t="s">
        <v>201</v>
      </c>
      <c r="B461" t="s">
        <v>309</v>
      </c>
    </row>
    <row r="462" spans="1:2" x14ac:dyDescent="0.25">
      <c r="A462" t="s">
        <v>201</v>
      </c>
      <c r="B462" t="s">
        <v>212</v>
      </c>
    </row>
    <row r="463" spans="1:2" x14ac:dyDescent="0.25">
      <c r="A463" t="s">
        <v>203</v>
      </c>
      <c r="B463" t="s">
        <v>1760</v>
      </c>
    </row>
    <row r="464" spans="1:2" x14ac:dyDescent="0.25">
      <c r="A464" t="s">
        <v>208</v>
      </c>
      <c r="B464" t="s">
        <v>1506</v>
      </c>
    </row>
    <row r="465" spans="1:2" x14ac:dyDescent="0.25">
      <c r="A465" t="s">
        <v>203</v>
      </c>
      <c r="B465" t="s">
        <v>1761</v>
      </c>
    </row>
    <row r="466" spans="1:2" x14ac:dyDescent="0.25">
      <c r="A466" t="s">
        <v>203</v>
      </c>
      <c r="B466" t="s">
        <v>1762</v>
      </c>
    </row>
    <row r="467" spans="1:2" x14ac:dyDescent="0.25">
      <c r="A467" t="s">
        <v>203</v>
      </c>
      <c r="B467" t="s">
        <v>96</v>
      </c>
    </row>
    <row r="468" spans="1:2" x14ac:dyDescent="0.25">
      <c r="A468" t="s">
        <v>201</v>
      </c>
      <c r="B468" t="s">
        <v>212</v>
      </c>
    </row>
    <row r="469" spans="1:2" x14ac:dyDescent="0.25">
      <c r="A469" t="s">
        <v>201</v>
      </c>
      <c r="B469" t="s">
        <v>1763</v>
      </c>
    </row>
    <row r="470" spans="1:2" x14ac:dyDescent="0.25">
      <c r="A470" t="s">
        <v>201</v>
      </c>
      <c r="B470" t="s">
        <v>1764</v>
      </c>
    </row>
    <row r="471" spans="1:2" x14ac:dyDescent="0.25">
      <c r="A471" t="s">
        <v>203</v>
      </c>
      <c r="B471" t="s">
        <v>1765</v>
      </c>
    </row>
    <row r="472" spans="1:2" x14ac:dyDescent="0.25">
      <c r="A472" t="s">
        <v>201</v>
      </c>
      <c r="B472" t="s">
        <v>816</v>
      </c>
    </row>
    <row r="473" spans="1:2" x14ac:dyDescent="0.25">
      <c r="A473" t="s">
        <v>201</v>
      </c>
      <c r="B473" t="s">
        <v>1766</v>
      </c>
    </row>
    <row r="474" spans="1:2" x14ac:dyDescent="0.25">
      <c r="A474" t="s">
        <v>201</v>
      </c>
      <c r="B474" t="s">
        <v>1767</v>
      </c>
    </row>
    <row r="475" spans="1:2" x14ac:dyDescent="0.25">
      <c r="A475" t="s">
        <v>208</v>
      </c>
      <c r="B475" t="s">
        <v>1768</v>
      </c>
    </row>
    <row r="476" spans="1:2" x14ac:dyDescent="0.25">
      <c r="A476" t="s">
        <v>203</v>
      </c>
      <c r="B476" t="s">
        <v>1769</v>
      </c>
    </row>
    <row r="477" spans="1:2" x14ac:dyDescent="0.25">
      <c r="A477" t="s">
        <v>201</v>
      </c>
      <c r="B477" t="s">
        <v>1770</v>
      </c>
    </row>
    <row r="478" spans="1:2" x14ac:dyDescent="0.25">
      <c r="A478" t="s">
        <v>221</v>
      </c>
      <c r="B478" t="s">
        <v>1771</v>
      </c>
    </row>
    <row r="479" spans="1:2" x14ac:dyDescent="0.25">
      <c r="A479" t="s">
        <v>203</v>
      </c>
      <c r="B479" t="s">
        <v>1772</v>
      </c>
    </row>
    <row r="480" spans="1:2" x14ac:dyDescent="0.25">
      <c r="A480" t="s">
        <v>203</v>
      </c>
      <c r="B480" t="s">
        <v>1773</v>
      </c>
    </row>
    <row r="481" spans="1:2" x14ac:dyDescent="0.25">
      <c r="A481" t="s">
        <v>221</v>
      </c>
      <c r="B481" t="s">
        <v>1774</v>
      </c>
    </row>
    <row r="482" spans="1:2" x14ac:dyDescent="0.25">
      <c r="A482" t="s">
        <v>203</v>
      </c>
      <c r="B482" t="s">
        <v>395</v>
      </c>
    </row>
    <row r="483" spans="1:2" x14ac:dyDescent="0.25">
      <c r="A483" t="s">
        <v>221</v>
      </c>
      <c r="B483" t="s">
        <v>1775</v>
      </c>
    </row>
    <row r="484" spans="1:2" x14ac:dyDescent="0.25">
      <c r="A484" t="s">
        <v>203</v>
      </c>
      <c r="B484" t="s">
        <v>532</v>
      </c>
    </row>
    <row r="485" spans="1:2" x14ac:dyDescent="0.25">
      <c r="A485" t="s">
        <v>203</v>
      </c>
      <c r="B485" t="s">
        <v>1776</v>
      </c>
    </row>
    <row r="486" spans="1:2" x14ac:dyDescent="0.25">
      <c r="A486" t="s">
        <v>201</v>
      </c>
      <c r="B486" t="s">
        <v>1777</v>
      </c>
    </row>
    <row r="487" spans="1:2" x14ac:dyDescent="0.25">
      <c r="A487" t="s">
        <v>203</v>
      </c>
      <c r="B487" t="s">
        <v>1778</v>
      </c>
    </row>
    <row r="488" spans="1:2" x14ac:dyDescent="0.25">
      <c r="A488" t="s">
        <v>203</v>
      </c>
      <c r="B488" t="s">
        <v>331</v>
      </c>
    </row>
    <row r="489" spans="1:2" x14ac:dyDescent="0.25">
      <c r="A489" t="s">
        <v>203</v>
      </c>
      <c r="B489" t="s">
        <v>980</v>
      </c>
    </row>
    <row r="490" spans="1:2" x14ac:dyDescent="0.25">
      <c r="A490" t="s">
        <v>203</v>
      </c>
      <c r="B490" t="s">
        <v>537</v>
      </c>
    </row>
    <row r="491" spans="1:2" x14ac:dyDescent="0.25">
      <c r="A491" t="s">
        <v>208</v>
      </c>
      <c r="B491" t="s">
        <v>1779</v>
      </c>
    </row>
    <row r="492" spans="1:2" x14ac:dyDescent="0.25">
      <c r="A492" t="s">
        <v>203</v>
      </c>
      <c r="B492" t="s">
        <v>1437</v>
      </c>
    </row>
    <row r="493" spans="1:2" x14ac:dyDescent="0.25">
      <c r="A493" t="s">
        <v>221</v>
      </c>
      <c r="B493" t="s">
        <v>1780</v>
      </c>
    </row>
    <row r="494" spans="1:2" x14ac:dyDescent="0.25">
      <c r="A494" t="s">
        <v>201</v>
      </c>
      <c r="B494" t="s">
        <v>1417</v>
      </c>
    </row>
    <row r="495" spans="1:2" x14ac:dyDescent="0.25">
      <c r="A495" t="s">
        <v>201</v>
      </c>
      <c r="B495" t="s">
        <v>1781</v>
      </c>
    </row>
    <row r="496" spans="1:2" x14ac:dyDescent="0.25">
      <c r="A496" t="s">
        <v>203</v>
      </c>
      <c r="B496" t="s">
        <v>53</v>
      </c>
    </row>
    <row r="497" spans="1:2" x14ac:dyDescent="0.25">
      <c r="A497" t="s">
        <v>201</v>
      </c>
      <c r="B497" t="s">
        <v>1158</v>
      </c>
    </row>
    <row r="498" spans="1:2" x14ac:dyDescent="0.25">
      <c r="A498" t="s">
        <v>203</v>
      </c>
      <c r="B498" t="s">
        <v>1782</v>
      </c>
    </row>
    <row r="499" spans="1:2" x14ac:dyDescent="0.25">
      <c r="A499" t="s">
        <v>203</v>
      </c>
      <c r="B499" t="s">
        <v>986</v>
      </c>
    </row>
    <row r="500" spans="1:2" x14ac:dyDescent="0.25">
      <c r="A500" t="s">
        <v>203</v>
      </c>
      <c r="B500" t="s">
        <v>542</v>
      </c>
    </row>
    <row r="501" spans="1:2" x14ac:dyDescent="0.25">
      <c r="A501" t="s">
        <v>203</v>
      </c>
      <c r="B501" t="s">
        <v>1783</v>
      </c>
    </row>
    <row r="502" spans="1:2" x14ac:dyDescent="0.25">
      <c r="A502" t="s">
        <v>201</v>
      </c>
      <c r="B502" t="s">
        <v>1784</v>
      </c>
    </row>
    <row r="503" spans="1:2" x14ac:dyDescent="0.25">
      <c r="A503" t="s">
        <v>208</v>
      </c>
      <c r="B503" t="s">
        <v>988</v>
      </c>
    </row>
    <row r="504" spans="1:2" x14ac:dyDescent="0.25">
      <c r="A504" t="s">
        <v>201</v>
      </c>
      <c r="B504" t="s">
        <v>1785</v>
      </c>
    </row>
    <row r="505" spans="1:2" x14ac:dyDescent="0.25">
      <c r="A505" t="s">
        <v>201</v>
      </c>
      <c r="B505" t="s">
        <v>212</v>
      </c>
    </row>
    <row r="506" spans="1:2" x14ac:dyDescent="0.25">
      <c r="A506" t="s">
        <v>203</v>
      </c>
      <c r="B506" t="s">
        <v>1786</v>
      </c>
    </row>
    <row r="507" spans="1:2" x14ac:dyDescent="0.25">
      <c r="A507" t="s">
        <v>203</v>
      </c>
      <c r="B507" t="s">
        <v>1787</v>
      </c>
    </row>
    <row r="508" spans="1:2" x14ac:dyDescent="0.25">
      <c r="A508" t="s">
        <v>203</v>
      </c>
      <c r="B508" t="s">
        <v>1788</v>
      </c>
    </row>
    <row r="509" spans="1:2" x14ac:dyDescent="0.25">
      <c r="A509" t="s">
        <v>201</v>
      </c>
      <c r="B509" t="s">
        <v>1789</v>
      </c>
    </row>
    <row r="510" spans="1:2" x14ac:dyDescent="0.25">
      <c r="A510" t="s">
        <v>226</v>
      </c>
      <c r="B510" t="s">
        <v>1790</v>
      </c>
    </row>
    <row r="511" spans="1:2" x14ac:dyDescent="0.25">
      <c r="A511" t="s">
        <v>203</v>
      </c>
      <c r="B511" t="s">
        <v>287</v>
      </c>
    </row>
    <row r="512" spans="1:2" x14ac:dyDescent="0.25">
      <c r="A512" t="s">
        <v>201</v>
      </c>
      <c r="B512" t="s">
        <v>1791</v>
      </c>
    </row>
    <row r="513" spans="1:2" x14ac:dyDescent="0.25">
      <c r="A513" t="s">
        <v>201</v>
      </c>
      <c r="B513" t="s">
        <v>1792</v>
      </c>
    </row>
    <row r="514" spans="1:2" x14ac:dyDescent="0.25">
      <c r="A514" t="s">
        <v>221</v>
      </c>
      <c r="B514" t="s">
        <v>1793</v>
      </c>
    </row>
    <row r="515" spans="1:2" x14ac:dyDescent="0.25">
      <c r="A515" t="s">
        <v>203</v>
      </c>
      <c r="B515" t="s">
        <v>1794</v>
      </c>
    </row>
    <row r="516" spans="1:2" x14ac:dyDescent="0.25">
      <c r="A516" t="s">
        <v>203</v>
      </c>
      <c r="B516" t="s">
        <v>1795</v>
      </c>
    </row>
    <row r="517" spans="1:2" x14ac:dyDescent="0.25">
      <c r="A517" t="s">
        <v>226</v>
      </c>
      <c r="B517" t="s">
        <v>1796</v>
      </c>
    </row>
    <row r="518" spans="1:2" x14ac:dyDescent="0.25">
      <c r="A518" t="s">
        <v>226</v>
      </c>
      <c r="B518" t="s">
        <v>1797</v>
      </c>
    </row>
    <row r="519" spans="1:2" x14ac:dyDescent="0.25">
      <c r="A519" t="s">
        <v>201</v>
      </c>
      <c r="B519" t="s">
        <v>1252</v>
      </c>
    </row>
    <row r="520" spans="1:2" x14ac:dyDescent="0.25">
      <c r="A520" t="s">
        <v>201</v>
      </c>
      <c r="B520" t="s">
        <v>1798</v>
      </c>
    </row>
    <row r="521" spans="1:2" x14ac:dyDescent="0.25">
      <c r="A521" t="s">
        <v>203</v>
      </c>
      <c r="B521" t="s">
        <v>1799</v>
      </c>
    </row>
    <row r="522" spans="1:2" x14ac:dyDescent="0.25">
      <c r="A522" t="s">
        <v>201</v>
      </c>
      <c r="B522" t="s">
        <v>1800</v>
      </c>
    </row>
    <row r="523" spans="1:2" x14ac:dyDescent="0.25">
      <c r="A523" t="s">
        <v>203</v>
      </c>
      <c r="B523" t="s">
        <v>74</v>
      </c>
    </row>
    <row r="524" spans="1:2" x14ac:dyDescent="0.25">
      <c r="A524" t="s">
        <v>203</v>
      </c>
      <c r="B524" t="s">
        <v>1801</v>
      </c>
    </row>
    <row r="525" spans="1:2" x14ac:dyDescent="0.25">
      <c r="A525" t="s">
        <v>221</v>
      </c>
      <c r="B525" t="s">
        <v>1802</v>
      </c>
    </row>
    <row r="526" spans="1:2" x14ac:dyDescent="0.25">
      <c r="A526" t="s">
        <v>203</v>
      </c>
      <c r="B526" t="s">
        <v>78</v>
      </c>
    </row>
    <row r="527" spans="1:2" x14ac:dyDescent="0.25">
      <c r="A527" t="s">
        <v>201</v>
      </c>
      <c r="B527" t="s">
        <v>1803</v>
      </c>
    </row>
    <row r="528" spans="1:2" x14ac:dyDescent="0.25">
      <c r="A528" t="s">
        <v>221</v>
      </c>
      <c r="B528" t="s">
        <v>1804</v>
      </c>
    </row>
    <row r="529" spans="1:2" x14ac:dyDescent="0.25">
      <c r="A529" t="s">
        <v>203</v>
      </c>
      <c r="B529" t="s">
        <v>278</v>
      </c>
    </row>
    <row r="530" spans="1:2" x14ac:dyDescent="0.25">
      <c r="A530" t="s">
        <v>201</v>
      </c>
      <c r="B530" t="s">
        <v>1672</v>
      </c>
    </row>
    <row r="531" spans="1:2" x14ac:dyDescent="0.25">
      <c r="A531" t="s">
        <v>201</v>
      </c>
      <c r="B531" t="s">
        <v>212</v>
      </c>
    </row>
    <row r="532" spans="1:2" x14ac:dyDescent="0.25">
      <c r="A532" t="s">
        <v>201</v>
      </c>
      <c r="B532" t="s">
        <v>1805</v>
      </c>
    </row>
    <row r="533" spans="1:2" x14ac:dyDescent="0.25">
      <c r="A533" t="s">
        <v>203</v>
      </c>
      <c r="B533" t="s">
        <v>1806</v>
      </c>
    </row>
    <row r="534" spans="1:2" x14ac:dyDescent="0.25">
      <c r="A534" t="s">
        <v>203</v>
      </c>
      <c r="B534" t="s">
        <v>981</v>
      </c>
    </row>
    <row r="535" spans="1:2" x14ac:dyDescent="0.25">
      <c r="A535" t="s">
        <v>203</v>
      </c>
      <c r="B535" t="s">
        <v>1807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53"/>
  <sheetViews>
    <sheetView workbookViewId="0"/>
  </sheetViews>
  <sheetFormatPr defaultRowHeight="15" x14ac:dyDescent="0.25"/>
  <cols>
    <col min="1" max="3" width="30.7109375" customWidth="1"/>
  </cols>
  <sheetData>
    <row r="1" spans="1:2" s="3" customFormat="1" x14ac:dyDescent="0.25">
      <c r="A1" s="9" t="str">
        <f>HYPERLINK("#Tabulka!A198","Jaký máte pocit z tohoto sloganu?&lt;br&gt;&lt;br&gt;
**„To koukáte.“**")</f>
        <v>Jaký máte pocit z tohoto sloganu?&lt;br&gt;&lt;br&gt;
**„To koukáte.“**</v>
      </c>
    </row>
    <row r="2" spans="1:2" x14ac:dyDescent="0.25">
      <c r="A2" t="s">
        <v>208</v>
      </c>
      <c r="B2" t="s">
        <v>1811</v>
      </c>
    </row>
    <row r="3" spans="1:2" x14ac:dyDescent="0.25">
      <c r="A3" t="s">
        <v>203</v>
      </c>
      <c r="B3" t="s">
        <v>218</v>
      </c>
    </row>
    <row r="4" spans="1:2" x14ac:dyDescent="0.25">
      <c r="A4" t="s">
        <v>203</v>
      </c>
      <c r="B4" t="s">
        <v>213</v>
      </c>
    </row>
    <row r="5" spans="1:2" x14ac:dyDescent="0.25">
      <c r="A5" t="s">
        <v>201</v>
      </c>
      <c r="B5" t="s">
        <v>1812</v>
      </c>
    </row>
    <row r="6" spans="1:2" x14ac:dyDescent="0.25">
      <c r="A6" t="s">
        <v>203</v>
      </c>
      <c r="B6" t="s">
        <v>1813</v>
      </c>
    </row>
    <row r="7" spans="1:2" x14ac:dyDescent="0.25">
      <c r="A7" t="s">
        <v>203</v>
      </c>
      <c r="B7" t="s">
        <v>1359</v>
      </c>
    </row>
    <row r="8" spans="1:2" x14ac:dyDescent="0.25">
      <c r="A8" t="s">
        <v>203</v>
      </c>
      <c r="B8" t="s">
        <v>1814</v>
      </c>
    </row>
    <row r="9" spans="1:2" x14ac:dyDescent="0.25">
      <c r="A9" t="s">
        <v>203</v>
      </c>
      <c r="B9" t="s">
        <v>1815</v>
      </c>
    </row>
    <row r="10" spans="1:2" x14ac:dyDescent="0.25">
      <c r="A10" t="s">
        <v>201</v>
      </c>
      <c r="B10" t="s">
        <v>1816</v>
      </c>
    </row>
    <row r="11" spans="1:2" x14ac:dyDescent="0.25">
      <c r="A11" t="s">
        <v>208</v>
      </c>
      <c r="B11" t="s">
        <v>1817</v>
      </c>
    </row>
    <row r="12" spans="1:2" x14ac:dyDescent="0.25">
      <c r="A12" t="s">
        <v>203</v>
      </c>
      <c r="B12" t="s">
        <v>904</v>
      </c>
    </row>
    <row r="13" spans="1:2" x14ac:dyDescent="0.25">
      <c r="A13" t="s">
        <v>221</v>
      </c>
      <c r="B13" t="s">
        <v>375</v>
      </c>
    </row>
    <row r="14" spans="1:2" x14ac:dyDescent="0.25">
      <c r="A14" t="s">
        <v>203</v>
      </c>
      <c r="B14" t="s">
        <v>769</v>
      </c>
    </row>
    <row r="15" spans="1:2" x14ac:dyDescent="0.25">
      <c r="A15" t="s">
        <v>203</v>
      </c>
      <c r="B15" t="s">
        <v>320</v>
      </c>
    </row>
    <row r="16" spans="1:2" x14ac:dyDescent="0.25">
      <c r="A16" t="s">
        <v>203</v>
      </c>
      <c r="B16" t="s">
        <v>732</v>
      </c>
    </row>
    <row r="17" spans="1:2" x14ac:dyDescent="0.25">
      <c r="A17" t="s">
        <v>203</v>
      </c>
      <c r="B17" t="s">
        <v>1818</v>
      </c>
    </row>
    <row r="18" spans="1:2" x14ac:dyDescent="0.25">
      <c r="A18" t="s">
        <v>201</v>
      </c>
      <c r="B18" t="s">
        <v>212</v>
      </c>
    </row>
    <row r="19" spans="1:2" x14ac:dyDescent="0.25">
      <c r="A19" t="s">
        <v>203</v>
      </c>
      <c r="B19" t="s">
        <v>218</v>
      </c>
    </row>
    <row r="20" spans="1:2" x14ac:dyDescent="0.25">
      <c r="A20" t="s">
        <v>208</v>
      </c>
      <c r="B20" t="s">
        <v>1819</v>
      </c>
    </row>
    <row r="21" spans="1:2" x14ac:dyDescent="0.25">
      <c r="A21" t="s">
        <v>208</v>
      </c>
      <c r="B21" t="s">
        <v>1820</v>
      </c>
    </row>
    <row r="22" spans="1:2" x14ac:dyDescent="0.25">
      <c r="A22" t="s">
        <v>203</v>
      </c>
      <c r="B22" t="s">
        <v>348</v>
      </c>
    </row>
    <row r="23" spans="1:2" x14ac:dyDescent="0.25">
      <c r="A23" t="s">
        <v>201</v>
      </c>
      <c r="B23" t="s">
        <v>1821</v>
      </c>
    </row>
    <row r="24" spans="1:2" x14ac:dyDescent="0.25">
      <c r="A24" t="s">
        <v>201</v>
      </c>
      <c r="B24" t="s">
        <v>280</v>
      </c>
    </row>
    <row r="25" spans="1:2" x14ac:dyDescent="0.25">
      <c r="A25" t="s">
        <v>201</v>
      </c>
      <c r="B25" t="s">
        <v>220</v>
      </c>
    </row>
    <row r="26" spans="1:2" x14ac:dyDescent="0.25">
      <c r="A26" t="s">
        <v>203</v>
      </c>
      <c r="B26" t="s">
        <v>260</v>
      </c>
    </row>
    <row r="27" spans="1:2" x14ac:dyDescent="0.25">
      <c r="A27" t="s">
        <v>203</v>
      </c>
      <c r="B27" t="s">
        <v>1822</v>
      </c>
    </row>
    <row r="28" spans="1:2" x14ac:dyDescent="0.25">
      <c r="A28" t="s">
        <v>203</v>
      </c>
      <c r="B28" t="s">
        <v>1823</v>
      </c>
    </row>
    <row r="29" spans="1:2" x14ac:dyDescent="0.25">
      <c r="A29" t="s">
        <v>203</v>
      </c>
      <c r="B29" t="s">
        <v>1824</v>
      </c>
    </row>
    <row r="30" spans="1:2" x14ac:dyDescent="0.25">
      <c r="A30" t="s">
        <v>201</v>
      </c>
      <c r="B30" t="s">
        <v>1825</v>
      </c>
    </row>
    <row r="31" spans="1:2" x14ac:dyDescent="0.25">
      <c r="A31" t="s">
        <v>201</v>
      </c>
      <c r="B31" t="s">
        <v>1826</v>
      </c>
    </row>
    <row r="32" spans="1:2" x14ac:dyDescent="0.25">
      <c r="A32" t="s">
        <v>208</v>
      </c>
      <c r="B32" t="s">
        <v>1827</v>
      </c>
    </row>
    <row r="33" spans="1:2" x14ac:dyDescent="0.25">
      <c r="A33" t="s">
        <v>203</v>
      </c>
      <c r="B33" t="s">
        <v>1828</v>
      </c>
    </row>
    <row r="34" spans="1:2" x14ac:dyDescent="0.25">
      <c r="A34" t="s">
        <v>203</v>
      </c>
      <c r="B34" t="s">
        <v>1829</v>
      </c>
    </row>
    <row r="35" spans="1:2" x14ac:dyDescent="0.25">
      <c r="A35" t="s">
        <v>203</v>
      </c>
      <c r="B35" t="s">
        <v>1830</v>
      </c>
    </row>
    <row r="36" spans="1:2" x14ac:dyDescent="0.25">
      <c r="A36" t="s">
        <v>203</v>
      </c>
      <c r="B36" t="s">
        <v>229</v>
      </c>
    </row>
    <row r="37" spans="1:2" x14ac:dyDescent="0.25">
      <c r="A37" t="s">
        <v>201</v>
      </c>
      <c r="B37" t="s">
        <v>1831</v>
      </c>
    </row>
    <row r="38" spans="1:2" x14ac:dyDescent="0.25">
      <c r="A38" t="s">
        <v>201</v>
      </c>
      <c r="B38" t="s">
        <v>1832</v>
      </c>
    </row>
    <row r="39" spans="1:2" x14ac:dyDescent="0.25">
      <c r="A39" t="s">
        <v>201</v>
      </c>
      <c r="B39" t="s">
        <v>1833</v>
      </c>
    </row>
    <row r="40" spans="1:2" x14ac:dyDescent="0.25">
      <c r="A40" t="s">
        <v>201</v>
      </c>
      <c r="B40" t="s">
        <v>1834</v>
      </c>
    </row>
    <row r="41" spans="1:2" x14ac:dyDescent="0.25">
      <c r="A41" t="s">
        <v>208</v>
      </c>
      <c r="B41" t="s">
        <v>1835</v>
      </c>
    </row>
    <row r="42" spans="1:2" x14ac:dyDescent="0.25">
      <c r="A42" t="s">
        <v>201</v>
      </c>
      <c r="B42" t="s">
        <v>1836</v>
      </c>
    </row>
    <row r="43" spans="1:2" x14ac:dyDescent="0.25">
      <c r="A43" t="s">
        <v>221</v>
      </c>
      <c r="B43" t="s">
        <v>1831</v>
      </c>
    </row>
    <row r="44" spans="1:2" x14ac:dyDescent="0.25">
      <c r="A44" t="s">
        <v>203</v>
      </c>
      <c r="B44" t="s">
        <v>1837</v>
      </c>
    </row>
    <row r="45" spans="1:2" x14ac:dyDescent="0.25">
      <c r="A45" t="s">
        <v>201</v>
      </c>
      <c r="B45" t="s">
        <v>1838</v>
      </c>
    </row>
    <row r="46" spans="1:2" x14ac:dyDescent="0.25">
      <c r="A46" t="s">
        <v>201</v>
      </c>
      <c r="B46" t="s">
        <v>1832</v>
      </c>
    </row>
    <row r="47" spans="1:2" x14ac:dyDescent="0.25">
      <c r="A47" t="s">
        <v>203</v>
      </c>
      <c r="B47" t="s">
        <v>1673</v>
      </c>
    </row>
    <row r="48" spans="1:2" x14ac:dyDescent="0.25">
      <c r="A48" t="s">
        <v>203</v>
      </c>
      <c r="B48" t="s">
        <v>1839</v>
      </c>
    </row>
    <row r="49" spans="1:2" x14ac:dyDescent="0.25">
      <c r="A49" t="s">
        <v>203</v>
      </c>
      <c r="B49" t="s">
        <v>1840</v>
      </c>
    </row>
    <row r="50" spans="1:2" x14ac:dyDescent="0.25">
      <c r="A50" t="s">
        <v>208</v>
      </c>
      <c r="B50" t="s">
        <v>1841</v>
      </c>
    </row>
    <row r="51" spans="1:2" x14ac:dyDescent="0.25">
      <c r="A51" t="s">
        <v>203</v>
      </c>
      <c r="B51" t="s">
        <v>1842</v>
      </c>
    </row>
    <row r="52" spans="1:2" x14ac:dyDescent="0.25">
      <c r="A52" t="s">
        <v>203</v>
      </c>
      <c r="B52" t="s">
        <v>218</v>
      </c>
    </row>
    <row r="53" spans="1:2" x14ac:dyDescent="0.25">
      <c r="A53" t="s">
        <v>221</v>
      </c>
      <c r="B53" t="s">
        <v>1843</v>
      </c>
    </row>
    <row r="54" spans="1:2" x14ac:dyDescent="0.25">
      <c r="A54" t="s">
        <v>201</v>
      </c>
      <c r="B54" t="s">
        <v>1252</v>
      </c>
    </row>
    <row r="55" spans="1:2" x14ac:dyDescent="0.25">
      <c r="A55" t="s">
        <v>203</v>
      </c>
      <c r="B55" t="s">
        <v>1844</v>
      </c>
    </row>
    <row r="56" spans="1:2" x14ac:dyDescent="0.25">
      <c r="A56" t="s">
        <v>203</v>
      </c>
      <c r="B56" t="s">
        <v>1845</v>
      </c>
    </row>
    <row r="57" spans="1:2" x14ac:dyDescent="0.25">
      <c r="A57" t="s">
        <v>201</v>
      </c>
      <c r="B57" t="s">
        <v>251</v>
      </c>
    </row>
    <row r="58" spans="1:2" x14ac:dyDescent="0.25">
      <c r="A58" t="s">
        <v>203</v>
      </c>
      <c r="B58" t="s">
        <v>1846</v>
      </c>
    </row>
    <row r="59" spans="1:2" x14ac:dyDescent="0.25">
      <c r="A59" t="s">
        <v>203</v>
      </c>
      <c r="B59" t="s">
        <v>1847</v>
      </c>
    </row>
    <row r="60" spans="1:2" x14ac:dyDescent="0.25">
      <c r="A60" t="s">
        <v>226</v>
      </c>
      <c r="B60" t="s">
        <v>1848</v>
      </c>
    </row>
    <row r="61" spans="1:2" x14ac:dyDescent="0.25">
      <c r="A61" t="s">
        <v>208</v>
      </c>
      <c r="B61" t="s">
        <v>1849</v>
      </c>
    </row>
    <row r="62" spans="1:2" x14ac:dyDescent="0.25">
      <c r="A62" t="s">
        <v>203</v>
      </c>
      <c r="B62" t="s">
        <v>96</v>
      </c>
    </row>
    <row r="63" spans="1:2" x14ac:dyDescent="0.25">
      <c r="A63" t="s">
        <v>203</v>
      </c>
      <c r="B63" t="s">
        <v>1850</v>
      </c>
    </row>
    <row r="64" spans="1:2" x14ac:dyDescent="0.25">
      <c r="A64" t="s">
        <v>203</v>
      </c>
      <c r="B64" t="s">
        <v>1851</v>
      </c>
    </row>
    <row r="65" spans="1:2" x14ac:dyDescent="0.25">
      <c r="A65" t="s">
        <v>201</v>
      </c>
      <c r="B65" t="s">
        <v>1615</v>
      </c>
    </row>
    <row r="66" spans="1:2" x14ac:dyDescent="0.25">
      <c r="A66" t="s">
        <v>203</v>
      </c>
      <c r="B66" t="s">
        <v>1852</v>
      </c>
    </row>
    <row r="67" spans="1:2" x14ac:dyDescent="0.25">
      <c r="A67" t="s">
        <v>203</v>
      </c>
      <c r="B67" t="s">
        <v>72</v>
      </c>
    </row>
    <row r="68" spans="1:2" x14ac:dyDescent="0.25">
      <c r="A68" t="s">
        <v>201</v>
      </c>
      <c r="B68" t="s">
        <v>251</v>
      </c>
    </row>
    <row r="69" spans="1:2" x14ac:dyDescent="0.25">
      <c r="A69" t="s">
        <v>208</v>
      </c>
      <c r="B69" t="s">
        <v>1853</v>
      </c>
    </row>
    <row r="70" spans="1:2" x14ac:dyDescent="0.25">
      <c r="A70" t="s">
        <v>203</v>
      </c>
      <c r="B70" t="s">
        <v>1854</v>
      </c>
    </row>
    <row r="71" spans="1:2" x14ac:dyDescent="0.25">
      <c r="A71" t="s">
        <v>203</v>
      </c>
      <c r="B71" t="s">
        <v>1855</v>
      </c>
    </row>
    <row r="72" spans="1:2" x14ac:dyDescent="0.25">
      <c r="A72" t="s">
        <v>201</v>
      </c>
      <c r="B72" t="s">
        <v>1856</v>
      </c>
    </row>
    <row r="73" spans="1:2" x14ac:dyDescent="0.25">
      <c r="A73" t="s">
        <v>201</v>
      </c>
      <c r="B73" t="s">
        <v>1857</v>
      </c>
    </row>
    <row r="74" spans="1:2" x14ac:dyDescent="0.25">
      <c r="A74" t="s">
        <v>203</v>
      </c>
      <c r="B74" t="s">
        <v>1858</v>
      </c>
    </row>
    <row r="75" spans="1:2" x14ac:dyDescent="0.25">
      <c r="A75" t="s">
        <v>203</v>
      </c>
      <c r="B75" t="s">
        <v>1859</v>
      </c>
    </row>
    <row r="76" spans="1:2" x14ac:dyDescent="0.25">
      <c r="A76" t="s">
        <v>221</v>
      </c>
      <c r="B76" t="s">
        <v>1860</v>
      </c>
    </row>
    <row r="77" spans="1:2" x14ac:dyDescent="0.25">
      <c r="A77" t="s">
        <v>203</v>
      </c>
      <c r="B77" t="s">
        <v>1861</v>
      </c>
    </row>
    <row r="78" spans="1:2" x14ac:dyDescent="0.25">
      <c r="A78" t="s">
        <v>201</v>
      </c>
      <c r="B78" t="s">
        <v>1862</v>
      </c>
    </row>
    <row r="79" spans="1:2" x14ac:dyDescent="0.25">
      <c r="A79" t="s">
        <v>208</v>
      </c>
      <c r="B79" t="s">
        <v>78</v>
      </c>
    </row>
    <row r="80" spans="1:2" x14ac:dyDescent="0.25">
      <c r="A80" t="s">
        <v>221</v>
      </c>
      <c r="B80" t="s">
        <v>926</v>
      </c>
    </row>
    <row r="81" spans="1:2" x14ac:dyDescent="0.25">
      <c r="A81" t="s">
        <v>203</v>
      </c>
      <c r="B81" t="s">
        <v>1863</v>
      </c>
    </row>
    <row r="82" spans="1:2" x14ac:dyDescent="0.25">
      <c r="A82" t="s">
        <v>201</v>
      </c>
      <c r="B82" t="s">
        <v>1864</v>
      </c>
    </row>
    <row r="83" spans="1:2" x14ac:dyDescent="0.25">
      <c r="A83" t="s">
        <v>221</v>
      </c>
      <c r="B83" t="s">
        <v>266</v>
      </c>
    </row>
    <row r="84" spans="1:2" x14ac:dyDescent="0.25">
      <c r="A84" t="s">
        <v>203</v>
      </c>
      <c r="B84" t="s">
        <v>1865</v>
      </c>
    </row>
    <row r="85" spans="1:2" x14ac:dyDescent="0.25">
      <c r="A85" t="s">
        <v>221</v>
      </c>
      <c r="B85" t="s">
        <v>1866</v>
      </c>
    </row>
    <row r="86" spans="1:2" x14ac:dyDescent="0.25">
      <c r="A86" t="s">
        <v>203</v>
      </c>
      <c r="B86" t="s">
        <v>72</v>
      </c>
    </row>
    <row r="87" spans="1:2" x14ac:dyDescent="0.25">
      <c r="A87" t="s">
        <v>201</v>
      </c>
      <c r="B87" t="s">
        <v>1864</v>
      </c>
    </row>
    <row r="88" spans="1:2" x14ac:dyDescent="0.25">
      <c r="A88" t="s">
        <v>203</v>
      </c>
      <c r="B88" t="s">
        <v>269</v>
      </c>
    </row>
    <row r="89" spans="1:2" x14ac:dyDescent="0.25">
      <c r="A89" t="s">
        <v>203</v>
      </c>
      <c r="B89" t="s">
        <v>1867</v>
      </c>
    </row>
    <row r="90" spans="1:2" x14ac:dyDescent="0.25">
      <c r="A90" t="s">
        <v>201</v>
      </c>
      <c r="B90" t="s">
        <v>1868</v>
      </c>
    </row>
    <row r="91" spans="1:2" x14ac:dyDescent="0.25">
      <c r="A91" t="s">
        <v>203</v>
      </c>
      <c r="B91" t="s">
        <v>1869</v>
      </c>
    </row>
    <row r="92" spans="1:2" x14ac:dyDescent="0.25">
      <c r="A92" t="s">
        <v>203</v>
      </c>
      <c r="B92" t="s">
        <v>1870</v>
      </c>
    </row>
    <row r="93" spans="1:2" x14ac:dyDescent="0.25">
      <c r="A93" t="s">
        <v>201</v>
      </c>
      <c r="B93" t="s">
        <v>214</v>
      </c>
    </row>
    <row r="94" spans="1:2" x14ac:dyDescent="0.25">
      <c r="A94" t="s">
        <v>203</v>
      </c>
      <c r="B94" t="s">
        <v>72</v>
      </c>
    </row>
    <row r="95" spans="1:2" x14ac:dyDescent="0.25">
      <c r="A95" t="s">
        <v>201</v>
      </c>
      <c r="B95" t="s">
        <v>1871</v>
      </c>
    </row>
    <row r="96" spans="1:2" x14ac:dyDescent="0.25">
      <c r="A96" t="s">
        <v>203</v>
      </c>
      <c r="B96" t="s">
        <v>278</v>
      </c>
    </row>
    <row r="97" spans="1:2" x14ac:dyDescent="0.25">
      <c r="A97" t="s">
        <v>203</v>
      </c>
      <c r="B97" t="s">
        <v>1872</v>
      </c>
    </row>
    <row r="98" spans="1:2" x14ac:dyDescent="0.25">
      <c r="A98" t="s">
        <v>201</v>
      </c>
      <c r="B98" t="s">
        <v>960</v>
      </c>
    </row>
    <row r="99" spans="1:2" x14ac:dyDescent="0.25">
      <c r="A99" t="s">
        <v>203</v>
      </c>
      <c r="B99" t="s">
        <v>1873</v>
      </c>
    </row>
    <row r="100" spans="1:2" x14ac:dyDescent="0.25">
      <c r="A100" t="s">
        <v>203</v>
      </c>
      <c r="B100" t="s">
        <v>1874</v>
      </c>
    </row>
    <row r="101" spans="1:2" x14ac:dyDescent="0.25">
      <c r="A101" t="s">
        <v>201</v>
      </c>
      <c r="B101" t="s">
        <v>212</v>
      </c>
    </row>
    <row r="102" spans="1:2" x14ac:dyDescent="0.25">
      <c r="A102" t="s">
        <v>203</v>
      </c>
      <c r="B102" t="s">
        <v>1875</v>
      </c>
    </row>
    <row r="103" spans="1:2" x14ac:dyDescent="0.25">
      <c r="A103" t="s">
        <v>201</v>
      </c>
      <c r="B103" t="s">
        <v>1876</v>
      </c>
    </row>
    <row r="104" spans="1:2" x14ac:dyDescent="0.25">
      <c r="A104" t="s">
        <v>203</v>
      </c>
      <c r="B104" t="s">
        <v>1877</v>
      </c>
    </row>
    <row r="105" spans="1:2" x14ac:dyDescent="0.25">
      <c r="A105" t="s">
        <v>201</v>
      </c>
      <c r="B105" t="s">
        <v>1878</v>
      </c>
    </row>
    <row r="106" spans="1:2" x14ac:dyDescent="0.25">
      <c r="A106" t="s">
        <v>201</v>
      </c>
      <c r="B106" t="s">
        <v>1879</v>
      </c>
    </row>
    <row r="107" spans="1:2" x14ac:dyDescent="0.25">
      <c r="A107" t="s">
        <v>201</v>
      </c>
      <c r="B107" t="s">
        <v>1880</v>
      </c>
    </row>
    <row r="108" spans="1:2" x14ac:dyDescent="0.25">
      <c r="A108" t="s">
        <v>203</v>
      </c>
      <c r="B108" t="s">
        <v>1881</v>
      </c>
    </row>
    <row r="109" spans="1:2" x14ac:dyDescent="0.25">
      <c r="A109" t="s">
        <v>203</v>
      </c>
      <c r="B109" t="s">
        <v>769</v>
      </c>
    </row>
    <row r="110" spans="1:2" x14ac:dyDescent="0.25">
      <c r="A110" t="s">
        <v>201</v>
      </c>
      <c r="B110" t="s">
        <v>309</v>
      </c>
    </row>
    <row r="111" spans="1:2" x14ac:dyDescent="0.25">
      <c r="A111" t="s">
        <v>201</v>
      </c>
      <c r="B111" t="s">
        <v>1864</v>
      </c>
    </row>
    <row r="112" spans="1:2" x14ac:dyDescent="0.25">
      <c r="A112" t="s">
        <v>203</v>
      </c>
      <c r="B112" t="s">
        <v>1882</v>
      </c>
    </row>
    <row r="113" spans="1:2" x14ac:dyDescent="0.25">
      <c r="A113" t="s">
        <v>203</v>
      </c>
      <c r="B113" t="s">
        <v>1883</v>
      </c>
    </row>
    <row r="114" spans="1:2" x14ac:dyDescent="0.25">
      <c r="A114" t="s">
        <v>203</v>
      </c>
      <c r="B114" t="s">
        <v>1884</v>
      </c>
    </row>
    <row r="115" spans="1:2" x14ac:dyDescent="0.25">
      <c r="A115" t="s">
        <v>203</v>
      </c>
      <c r="B115" t="s">
        <v>46</v>
      </c>
    </row>
    <row r="116" spans="1:2" x14ac:dyDescent="0.25">
      <c r="A116" t="s">
        <v>203</v>
      </c>
      <c r="B116" t="s">
        <v>1885</v>
      </c>
    </row>
    <row r="117" spans="1:2" x14ac:dyDescent="0.25">
      <c r="A117" t="s">
        <v>203</v>
      </c>
      <c r="B117" t="s">
        <v>1886</v>
      </c>
    </row>
    <row r="118" spans="1:2" x14ac:dyDescent="0.25">
      <c r="A118" t="s">
        <v>201</v>
      </c>
      <c r="B118" t="s">
        <v>1887</v>
      </c>
    </row>
    <row r="119" spans="1:2" x14ac:dyDescent="0.25">
      <c r="A119" t="s">
        <v>201</v>
      </c>
      <c r="B119" t="s">
        <v>1831</v>
      </c>
    </row>
    <row r="120" spans="1:2" x14ac:dyDescent="0.25">
      <c r="A120" t="s">
        <v>203</v>
      </c>
      <c r="B120" t="s">
        <v>1888</v>
      </c>
    </row>
    <row r="121" spans="1:2" x14ac:dyDescent="0.25">
      <c r="A121" t="s">
        <v>208</v>
      </c>
      <c r="B121" t="s">
        <v>1889</v>
      </c>
    </row>
    <row r="122" spans="1:2" x14ac:dyDescent="0.25">
      <c r="A122" t="s">
        <v>203</v>
      </c>
      <c r="B122" t="s">
        <v>263</v>
      </c>
    </row>
    <row r="123" spans="1:2" x14ac:dyDescent="0.25">
      <c r="A123" t="s">
        <v>203</v>
      </c>
      <c r="B123" t="s">
        <v>1890</v>
      </c>
    </row>
    <row r="124" spans="1:2" x14ac:dyDescent="0.25">
      <c r="A124" t="s">
        <v>226</v>
      </c>
      <c r="B124" t="s">
        <v>1891</v>
      </c>
    </row>
    <row r="125" spans="1:2" x14ac:dyDescent="0.25">
      <c r="A125" t="s">
        <v>208</v>
      </c>
      <c r="B125" t="s">
        <v>1892</v>
      </c>
    </row>
    <row r="126" spans="1:2" x14ac:dyDescent="0.25">
      <c r="A126" t="s">
        <v>203</v>
      </c>
      <c r="B126" t="s">
        <v>1893</v>
      </c>
    </row>
    <row r="127" spans="1:2" x14ac:dyDescent="0.25">
      <c r="A127" t="s">
        <v>203</v>
      </c>
      <c r="B127" t="s">
        <v>1894</v>
      </c>
    </row>
    <row r="128" spans="1:2" x14ac:dyDescent="0.25">
      <c r="A128" t="s">
        <v>201</v>
      </c>
      <c r="B128" t="s">
        <v>1895</v>
      </c>
    </row>
    <row r="129" spans="1:2" x14ac:dyDescent="0.25">
      <c r="A129" t="s">
        <v>203</v>
      </c>
      <c r="B129" t="s">
        <v>260</v>
      </c>
    </row>
    <row r="130" spans="1:2" x14ac:dyDescent="0.25">
      <c r="A130" t="s">
        <v>201</v>
      </c>
      <c r="B130" t="s">
        <v>1896</v>
      </c>
    </row>
    <row r="131" spans="1:2" x14ac:dyDescent="0.25">
      <c r="A131" t="s">
        <v>203</v>
      </c>
      <c r="B131" t="s">
        <v>1897</v>
      </c>
    </row>
    <row r="132" spans="1:2" x14ac:dyDescent="0.25">
      <c r="A132" t="s">
        <v>203</v>
      </c>
      <c r="B132" t="s">
        <v>1898</v>
      </c>
    </row>
    <row r="133" spans="1:2" x14ac:dyDescent="0.25">
      <c r="A133" t="s">
        <v>203</v>
      </c>
      <c r="B133" t="s">
        <v>1899</v>
      </c>
    </row>
    <row r="134" spans="1:2" x14ac:dyDescent="0.25">
      <c r="A134" t="s">
        <v>203</v>
      </c>
      <c r="B134" t="s">
        <v>213</v>
      </c>
    </row>
    <row r="135" spans="1:2" x14ac:dyDescent="0.25">
      <c r="A135" t="s">
        <v>208</v>
      </c>
      <c r="B135" t="s">
        <v>1900</v>
      </c>
    </row>
    <row r="136" spans="1:2" x14ac:dyDescent="0.25">
      <c r="A136" t="s">
        <v>201</v>
      </c>
      <c r="B136" t="s">
        <v>1901</v>
      </c>
    </row>
    <row r="137" spans="1:2" x14ac:dyDescent="0.25">
      <c r="A137" t="s">
        <v>201</v>
      </c>
      <c r="B137" t="s">
        <v>1902</v>
      </c>
    </row>
    <row r="138" spans="1:2" x14ac:dyDescent="0.25">
      <c r="A138" t="s">
        <v>221</v>
      </c>
      <c r="B138" t="s">
        <v>263</v>
      </c>
    </row>
    <row r="139" spans="1:2" x14ac:dyDescent="0.25">
      <c r="A139" t="s">
        <v>201</v>
      </c>
      <c r="B139" t="s">
        <v>1903</v>
      </c>
    </row>
    <row r="140" spans="1:2" x14ac:dyDescent="0.25">
      <c r="A140" t="s">
        <v>203</v>
      </c>
      <c r="B140" t="s">
        <v>1904</v>
      </c>
    </row>
    <row r="141" spans="1:2" x14ac:dyDescent="0.25">
      <c r="A141" t="s">
        <v>203</v>
      </c>
      <c r="B141" t="s">
        <v>1881</v>
      </c>
    </row>
    <row r="142" spans="1:2" x14ac:dyDescent="0.25">
      <c r="A142" t="s">
        <v>203</v>
      </c>
      <c r="B142" t="s">
        <v>1905</v>
      </c>
    </row>
    <row r="143" spans="1:2" x14ac:dyDescent="0.25">
      <c r="A143" t="s">
        <v>203</v>
      </c>
      <c r="B143" t="s">
        <v>214</v>
      </c>
    </row>
    <row r="144" spans="1:2" x14ac:dyDescent="0.25">
      <c r="A144" t="s">
        <v>203</v>
      </c>
      <c r="B144" t="s">
        <v>1906</v>
      </c>
    </row>
    <row r="145" spans="1:2" x14ac:dyDescent="0.25">
      <c r="A145" t="s">
        <v>201</v>
      </c>
      <c r="B145" t="s">
        <v>251</v>
      </c>
    </row>
    <row r="146" spans="1:2" x14ac:dyDescent="0.25">
      <c r="A146" t="s">
        <v>203</v>
      </c>
      <c r="B146" t="s">
        <v>229</v>
      </c>
    </row>
    <row r="147" spans="1:2" x14ac:dyDescent="0.25">
      <c r="A147" t="s">
        <v>201</v>
      </c>
      <c r="B147" t="s">
        <v>1727</v>
      </c>
    </row>
    <row r="148" spans="1:2" x14ac:dyDescent="0.25">
      <c r="A148" t="s">
        <v>208</v>
      </c>
      <c r="B148" t="s">
        <v>1907</v>
      </c>
    </row>
    <row r="149" spans="1:2" x14ac:dyDescent="0.25">
      <c r="A149" t="s">
        <v>203</v>
      </c>
      <c r="B149" t="s">
        <v>1908</v>
      </c>
    </row>
    <row r="150" spans="1:2" x14ac:dyDescent="0.25">
      <c r="A150" t="s">
        <v>201</v>
      </c>
      <c r="B150" t="s">
        <v>1909</v>
      </c>
    </row>
    <row r="151" spans="1:2" x14ac:dyDescent="0.25">
      <c r="A151" t="s">
        <v>201</v>
      </c>
      <c r="B151" t="s">
        <v>1817</v>
      </c>
    </row>
    <row r="152" spans="1:2" x14ac:dyDescent="0.25">
      <c r="A152" t="s">
        <v>203</v>
      </c>
      <c r="B152" t="s">
        <v>553</v>
      </c>
    </row>
    <row r="153" spans="1:2" x14ac:dyDescent="0.25">
      <c r="A153" t="s">
        <v>203</v>
      </c>
      <c r="B153" t="s">
        <v>357</v>
      </c>
    </row>
    <row r="154" spans="1:2" x14ac:dyDescent="0.25">
      <c r="A154" t="s">
        <v>203</v>
      </c>
      <c r="B154" t="s">
        <v>1910</v>
      </c>
    </row>
    <row r="155" spans="1:2" x14ac:dyDescent="0.25">
      <c r="A155" t="s">
        <v>203</v>
      </c>
      <c r="B155" t="s">
        <v>1911</v>
      </c>
    </row>
    <row r="156" spans="1:2" x14ac:dyDescent="0.25">
      <c r="A156" t="s">
        <v>201</v>
      </c>
      <c r="B156" t="s">
        <v>1912</v>
      </c>
    </row>
    <row r="157" spans="1:2" x14ac:dyDescent="0.25">
      <c r="A157" t="s">
        <v>201</v>
      </c>
      <c r="B157" t="s">
        <v>1873</v>
      </c>
    </row>
    <row r="158" spans="1:2" x14ac:dyDescent="0.25">
      <c r="A158" t="s">
        <v>203</v>
      </c>
      <c r="B158" t="s">
        <v>46</v>
      </c>
    </row>
    <row r="159" spans="1:2" x14ac:dyDescent="0.25">
      <c r="A159" t="s">
        <v>208</v>
      </c>
      <c r="B159" t="s">
        <v>1913</v>
      </c>
    </row>
    <row r="160" spans="1:2" x14ac:dyDescent="0.25">
      <c r="A160" t="s">
        <v>203</v>
      </c>
      <c r="B160" t="s">
        <v>1914</v>
      </c>
    </row>
    <row r="161" spans="1:2" x14ac:dyDescent="0.25">
      <c r="A161" t="s">
        <v>201</v>
      </c>
      <c r="B161" t="s">
        <v>1915</v>
      </c>
    </row>
    <row r="162" spans="1:2" x14ac:dyDescent="0.25">
      <c r="A162" t="s">
        <v>201</v>
      </c>
      <c r="B162" t="s">
        <v>1197</v>
      </c>
    </row>
    <row r="163" spans="1:2" x14ac:dyDescent="0.25">
      <c r="A163" t="s">
        <v>203</v>
      </c>
      <c r="B163" t="s">
        <v>1916</v>
      </c>
    </row>
    <row r="164" spans="1:2" x14ac:dyDescent="0.25">
      <c r="A164" t="s">
        <v>201</v>
      </c>
      <c r="B164" t="s">
        <v>309</v>
      </c>
    </row>
    <row r="165" spans="1:2" x14ac:dyDescent="0.25">
      <c r="A165" t="s">
        <v>201</v>
      </c>
      <c r="B165" t="s">
        <v>212</v>
      </c>
    </row>
    <row r="166" spans="1:2" x14ac:dyDescent="0.25">
      <c r="A166" t="s">
        <v>203</v>
      </c>
      <c r="B166" t="s">
        <v>72</v>
      </c>
    </row>
    <row r="167" spans="1:2" x14ac:dyDescent="0.25">
      <c r="A167" t="s">
        <v>203</v>
      </c>
      <c r="B167" t="s">
        <v>1917</v>
      </c>
    </row>
    <row r="168" spans="1:2" x14ac:dyDescent="0.25">
      <c r="A168" t="s">
        <v>208</v>
      </c>
      <c r="B168" t="s">
        <v>1918</v>
      </c>
    </row>
    <row r="169" spans="1:2" x14ac:dyDescent="0.25">
      <c r="A169" t="s">
        <v>201</v>
      </c>
      <c r="B169" t="s">
        <v>1919</v>
      </c>
    </row>
    <row r="170" spans="1:2" x14ac:dyDescent="0.25">
      <c r="A170" t="s">
        <v>203</v>
      </c>
      <c r="B170" t="s">
        <v>46</v>
      </c>
    </row>
    <row r="171" spans="1:2" x14ac:dyDescent="0.25">
      <c r="A171" t="s">
        <v>208</v>
      </c>
      <c r="B171" t="s">
        <v>1920</v>
      </c>
    </row>
    <row r="172" spans="1:2" x14ac:dyDescent="0.25">
      <c r="A172" t="s">
        <v>221</v>
      </c>
      <c r="B172" t="s">
        <v>1921</v>
      </c>
    </row>
    <row r="173" spans="1:2" x14ac:dyDescent="0.25">
      <c r="A173" t="s">
        <v>203</v>
      </c>
      <c r="B173" t="s">
        <v>46</v>
      </c>
    </row>
    <row r="174" spans="1:2" x14ac:dyDescent="0.25">
      <c r="A174" t="s">
        <v>203</v>
      </c>
      <c r="B174" t="s">
        <v>1922</v>
      </c>
    </row>
    <row r="175" spans="1:2" x14ac:dyDescent="0.25">
      <c r="A175" t="s">
        <v>203</v>
      </c>
      <c r="B175" t="s">
        <v>1923</v>
      </c>
    </row>
    <row r="176" spans="1:2" x14ac:dyDescent="0.25">
      <c r="A176" t="s">
        <v>208</v>
      </c>
      <c r="B176" t="s">
        <v>1924</v>
      </c>
    </row>
    <row r="177" spans="1:2" x14ac:dyDescent="0.25">
      <c r="A177" t="s">
        <v>203</v>
      </c>
      <c r="B177" t="s">
        <v>260</v>
      </c>
    </row>
    <row r="178" spans="1:2" x14ac:dyDescent="0.25">
      <c r="A178" t="s">
        <v>201</v>
      </c>
      <c r="B178" t="s">
        <v>1913</v>
      </c>
    </row>
    <row r="179" spans="1:2" x14ac:dyDescent="0.25">
      <c r="A179" t="s">
        <v>201</v>
      </c>
      <c r="B179" t="s">
        <v>1925</v>
      </c>
    </row>
    <row r="180" spans="1:2" x14ac:dyDescent="0.25">
      <c r="A180" t="s">
        <v>208</v>
      </c>
      <c r="B180" t="s">
        <v>1926</v>
      </c>
    </row>
    <row r="181" spans="1:2" x14ac:dyDescent="0.25">
      <c r="A181" t="s">
        <v>208</v>
      </c>
      <c r="B181" t="s">
        <v>1927</v>
      </c>
    </row>
    <row r="182" spans="1:2" x14ac:dyDescent="0.25">
      <c r="A182" t="s">
        <v>221</v>
      </c>
      <c r="B182" t="s">
        <v>1928</v>
      </c>
    </row>
    <row r="183" spans="1:2" x14ac:dyDescent="0.25">
      <c r="A183" t="s">
        <v>203</v>
      </c>
      <c r="B183" t="s">
        <v>1929</v>
      </c>
    </row>
    <row r="184" spans="1:2" x14ac:dyDescent="0.25">
      <c r="A184" t="s">
        <v>201</v>
      </c>
      <c r="B184" t="s">
        <v>1930</v>
      </c>
    </row>
    <row r="185" spans="1:2" x14ac:dyDescent="0.25">
      <c r="A185" t="s">
        <v>203</v>
      </c>
      <c r="B185" t="s">
        <v>1931</v>
      </c>
    </row>
    <row r="186" spans="1:2" x14ac:dyDescent="0.25">
      <c r="A186" t="s">
        <v>203</v>
      </c>
      <c r="B186" t="s">
        <v>1932</v>
      </c>
    </row>
    <row r="187" spans="1:2" x14ac:dyDescent="0.25">
      <c r="A187" t="s">
        <v>201</v>
      </c>
      <c r="B187" t="s">
        <v>1933</v>
      </c>
    </row>
    <row r="188" spans="1:2" x14ac:dyDescent="0.25">
      <c r="A188" t="s">
        <v>208</v>
      </c>
      <c r="B188" t="s">
        <v>1934</v>
      </c>
    </row>
    <row r="189" spans="1:2" x14ac:dyDescent="0.25">
      <c r="A189" t="s">
        <v>208</v>
      </c>
      <c r="B189" t="s">
        <v>218</v>
      </c>
    </row>
    <row r="190" spans="1:2" x14ac:dyDescent="0.25">
      <c r="A190" t="s">
        <v>201</v>
      </c>
      <c r="B190" t="s">
        <v>212</v>
      </c>
    </row>
    <row r="191" spans="1:2" x14ac:dyDescent="0.25">
      <c r="A191" t="s">
        <v>203</v>
      </c>
      <c r="B191" t="s">
        <v>218</v>
      </c>
    </row>
    <row r="192" spans="1:2" x14ac:dyDescent="0.25">
      <c r="A192" t="s">
        <v>203</v>
      </c>
      <c r="B192" t="s">
        <v>1935</v>
      </c>
    </row>
    <row r="193" spans="1:2" x14ac:dyDescent="0.25">
      <c r="A193" t="s">
        <v>203</v>
      </c>
      <c r="B193" t="s">
        <v>1936</v>
      </c>
    </row>
    <row r="194" spans="1:2" x14ac:dyDescent="0.25">
      <c r="A194" t="s">
        <v>201</v>
      </c>
      <c r="B194" t="s">
        <v>1937</v>
      </c>
    </row>
    <row r="195" spans="1:2" x14ac:dyDescent="0.25">
      <c r="A195" t="s">
        <v>203</v>
      </c>
      <c r="B195" t="s">
        <v>1938</v>
      </c>
    </row>
    <row r="196" spans="1:2" x14ac:dyDescent="0.25">
      <c r="A196" t="s">
        <v>201</v>
      </c>
      <c r="B196" t="s">
        <v>1939</v>
      </c>
    </row>
    <row r="197" spans="1:2" x14ac:dyDescent="0.25">
      <c r="A197" t="s">
        <v>208</v>
      </c>
      <c r="B197" t="s">
        <v>331</v>
      </c>
    </row>
    <row r="198" spans="1:2" x14ac:dyDescent="0.25">
      <c r="A198" t="s">
        <v>201</v>
      </c>
      <c r="B198" t="s">
        <v>263</v>
      </c>
    </row>
    <row r="199" spans="1:2" x14ac:dyDescent="0.25">
      <c r="A199" t="s">
        <v>203</v>
      </c>
      <c r="B199" t="s">
        <v>1940</v>
      </c>
    </row>
    <row r="200" spans="1:2" x14ac:dyDescent="0.25">
      <c r="A200" t="s">
        <v>208</v>
      </c>
      <c r="B200" t="s">
        <v>218</v>
      </c>
    </row>
    <row r="201" spans="1:2" x14ac:dyDescent="0.25">
      <c r="A201" t="s">
        <v>203</v>
      </c>
      <c r="B201" t="s">
        <v>1941</v>
      </c>
    </row>
    <row r="202" spans="1:2" x14ac:dyDescent="0.25">
      <c r="A202" t="s">
        <v>203</v>
      </c>
      <c r="B202" t="s">
        <v>1942</v>
      </c>
    </row>
    <row r="203" spans="1:2" x14ac:dyDescent="0.25">
      <c r="A203" t="s">
        <v>203</v>
      </c>
      <c r="B203" t="s">
        <v>206</v>
      </c>
    </row>
    <row r="204" spans="1:2" x14ac:dyDescent="0.25">
      <c r="A204" t="s">
        <v>201</v>
      </c>
      <c r="B204" t="s">
        <v>1943</v>
      </c>
    </row>
    <row r="205" spans="1:2" x14ac:dyDescent="0.25">
      <c r="A205" t="s">
        <v>203</v>
      </c>
      <c r="B205" t="s">
        <v>1944</v>
      </c>
    </row>
    <row r="206" spans="1:2" x14ac:dyDescent="0.25">
      <c r="A206" t="s">
        <v>203</v>
      </c>
      <c r="B206" t="s">
        <v>213</v>
      </c>
    </row>
    <row r="207" spans="1:2" x14ac:dyDescent="0.25">
      <c r="A207" t="s">
        <v>201</v>
      </c>
      <c r="B207" t="s">
        <v>1945</v>
      </c>
    </row>
    <row r="208" spans="1:2" x14ac:dyDescent="0.25">
      <c r="A208" t="s">
        <v>203</v>
      </c>
      <c r="B208" t="s">
        <v>46</v>
      </c>
    </row>
    <row r="209" spans="1:2" x14ac:dyDescent="0.25">
      <c r="A209" t="s">
        <v>203</v>
      </c>
      <c r="B209" t="s">
        <v>72</v>
      </c>
    </row>
    <row r="210" spans="1:2" x14ac:dyDescent="0.25">
      <c r="A210" t="s">
        <v>203</v>
      </c>
      <c r="B210" t="s">
        <v>214</v>
      </c>
    </row>
    <row r="211" spans="1:2" x14ac:dyDescent="0.25">
      <c r="A211" t="s">
        <v>203</v>
      </c>
      <c r="B211" t="s">
        <v>1200</v>
      </c>
    </row>
    <row r="212" spans="1:2" x14ac:dyDescent="0.25">
      <c r="A212" t="s">
        <v>203</v>
      </c>
      <c r="B212" t="s">
        <v>1946</v>
      </c>
    </row>
    <row r="213" spans="1:2" x14ac:dyDescent="0.25">
      <c r="A213" t="s">
        <v>203</v>
      </c>
      <c r="B213" t="s">
        <v>1947</v>
      </c>
    </row>
    <row r="214" spans="1:2" x14ac:dyDescent="0.25">
      <c r="A214" t="s">
        <v>203</v>
      </c>
      <c r="B214" t="s">
        <v>1900</v>
      </c>
    </row>
    <row r="215" spans="1:2" x14ac:dyDescent="0.25">
      <c r="A215" t="s">
        <v>203</v>
      </c>
      <c r="B215" t="s">
        <v>331</v>
      </c>
    </row>
    <row r="216" spans="1:2" x14ac:dyDescent="0.25">
      <c r="A216" t="s">
        <v>203</v>
      </c>
      <c r="B216" t="s">
        <v>1948</v>
      </c>
    </row>
    <row r="217" spans="1:2" x14ac:dyDescent="0.25">
      <c r="A217" t="s">
        <v>201</v>
      </c>
      <c r="B217" t="s">
        <v>1949</v>
      </c>
    </row>
    <row r="218" spans="1:2" x14ac:dyDescent="0.25">
      <c r="A218" t="s">
        <v>201</v>
      </c>
      <c r="B218" t="s">
        <v>1950</v>
      </c>
    </row>
    <row r="219" spans="1:2" x14ac:dyDescent="0.25">
      <c r="A219" t="s">
        <v>203</v>
      </c>
      <c r="B219" t="s">
        <v>1951</v>
      </c>
    </row>
    <row r="220" spans="1:2" x14ac:dyDescent="0.25">
      <c r="A220" t="s">
        <v>203</v>
      </c>
      <c r="B220" t="s">
        <v>1952</v>
      </c>
    </row>
    <row r="221" spans="1:2" x14ac:dyDescent="0.25">
      <c r="A221" t="s">
        <v>203</v>
      </c>
      <c r="B221" t="s">
        <v>1953</v>
      </c>
    </row>
    <row r="222" spans="1:2" x14ac:dyDescent="0.25">
      <c r="A222" t="s">
        <v>203</v>
      </c>
      <c r="B222" t="s">
        <v>331</v>
      </c>
    </row>
    <row r="223" spans="1:2" x14ac:dyDescent="0.25">
      <c r="A223" t="s">
        <v>203</v>
      </c>
      <c r="B223" t="s">
        <v>1954</v>
      </c>
    </row>
    <row r="224" spans="1:2" x14ac:dyDescent="0.25">
      <c r="A224" t="s">
        <v>203</v>
      </c>
      <c r="B224" t="s">
        <v>1955</v>
      </c>
    </row>
    <row r="225" spans="1:2" x14ac:dyDescent="0.25">
      <c r="A225" t="s">
        <v>203</v>
      </c>
      <c r="B225" t="s">
        <v>1956</v>
      </c>
    </row>
    <row r="226" spans="1:2" x14ac:dyDescent="0.25">
      <c r="A226" t="s">
        <v>201</v>
      </c>
      <c r="B226" t="s">
        <v>1957</v>
      </c>
    </row>
    <row r="227" spans="1:2" x14ac:dyDescent="0.25">
      <c r="A227" t="s">
        <v>203</v>
      </c>
      <c r="B227" t="s">
        <v>1958</v>
      </c>
    </row>
    <row r="228" spans="1:2" x14ac:dyDescent="0.25">
      <c r="A228" t="s">
        <v>203</v>
      </c>
      <c r="B228" t="s">
        <v>362</v>
      </c>
    </row>
    <row r="229" spans="1:2" x14ac:dyDescent="0.25">
      <c r="A229" t="s">
        <v>203</v>
      </c>
      <c r="B229" t="s">
        <v>1959</v>
      </c>
    </row>
    <row r="230" spans="1:2" x14ac:dyDescent="0.25">
      <c r="A230" t="s">
        <v>203</v>
      </c>
      <c r="B230" t="s">
        <v>363</v>
      </c>
    </row>
    <row r="231" spans="1:2" x14ac:dyDescent="0.25">
      <c r="A231" t="s">
        <v>203</v>
      </c>
      <c r="B231" t="s">
        <v>46</v>
      </c>
    </row>
    <row r="232" spans="1:2" x14ac:dyDescent="0.25">
      <c r="A232" t="s">
        <v>201</v>
      </c>
      <c r="B232" t="s">
        <v>1960</v>
      </c>
    </row>
    <row r="233" spans="1:2" x14ac:dyDescent="0.25">
      <c r="A233" t="s">
        <v>203</v>
      </c>
      <c r="B233" t="s">
        <v>1961</v>
      </c>
    </row>
    <row r="234" spans="1:2" x14ac:dyDescent="0.25">
      <c r="A234" t="s">
        <v>208</v>
      </c>
      <c r="B234" t="s">
        <v>818</v>
      </c>
    </row>
    <row r="235" spans="1:2" x14ac:dyDescent="0.25">
      <c r="A235" t="s">
        <v>203</v>
      </c>
      <c r="B235" t="s">
        <v>206</v>
      </c>
    </row>
    <row r="236" spans="1:2" x14ac:dyDescent="0.25">
      <c r="A236" t="s">
        <v>201</v>
      </c>
      <c r="B236" t="s">
        <v>1962</v>
      </c>
    </row>
    <row r="237" spans="1:2" x14ac:dyDescent="0.25">
      <c r="A237" t="s">
        <v>203</v>
      </c>
      <c r="B237" t="s">
        <v>133</v>
      </c>
    </row>
    <row r="238" spans="1:2" x14ac:dyDescent="0.25">
      <c r="A238" t="s">
        <v>203</v>
      </c>
      <c r="B238" t="s">
        <v>1362</v>
      </c>
    </row>
    <row r="239" spans="1:2" x14ac:dyDescent="0.25">
      <c r="A239" t="s">
        <v>201</v>
      </c>
      <c r="B239" t="s">
        <v>745</v>
      </c>
    </row>
    <row r="240" spans="1:2" x14ac:dyDescent="0.25">
      <c r="A240" t="s">
        <v>203</v>
      </c>
      <c r="B240" t="s">
        <v>335</v>
      </c>
    </row>
    <row r="241" spans="1:2" x14ac:dyDescent="0.25">
      <c r="A241" t="s">
        <v>201</v>
      </c>
      <c r="B241" t="s">
        <v>1817</v>
      </c>
    </row>
    <row r="242" spans="1:2" x14ac:dyDescent="0.25">
      <c r="A242" t="s">
        <v>208</v>
      </c>
      <c r="B242" t="s">
        <v>1963</v>
      </c>
    </row>
    <row r="243" spans="1:2" x14ac:dyDescent="0.25">
      <c r="A243" t="s">
        <v>203</v>
      </c>
      <c r="B243" t="s">
        <v>1964</v>
      </c>
    </row>
    <row r="244" spans="1:2" x14ac:dyDescent="0.25">
      <c r="A244" t="s">
        <v>201</v>
      </c>
      <c r="B244" t="s">
        <v>263</v>
      </c>
    </row>
    <row r="245" spans="1:2" x14ac:dyDescent="0.25">
      <c r="A245" t="s">
        <v>201</v>
      </c>
      <c r="B245" t="s">
        <v>732</v>
      </c>
    </row>
    <row r="246" spans="1:2" x14ac:dyDescent="0.25">
      <c r="A246" t="s">
        <v>208</v>
      </c>
      <c r="B246" t="s">
        <v>1965</v>
      </c>
    </row>
    <row r="247" spans="1:2" x14ac:dyDescent="0.25">
      <c r="A247" t="s">
        <v>208</v>
      </c>
      <c r="B247" t="s">
        <v>1907</v>
      </c>
    </row>
    <row r="248" spans="1:2" x14ac:dyDescent="0.25">
      <c r="A248" t="s">
        <v>203</v>
      </c>
      <c r="B248" t="s">
        <v>72</v>
      </c>
    </row>
    <row r="249" spans="1:2" x14ac:dyDescent="0.25">
      <c r="A249" t="s">
        <v>203</v>
      </c>
      <c r="B249" t="s">
        <v>46</v>
      </c>
    </row>
    <row r="250" spans="1:2" x14ac:dyDescent="0.25">
      <c r="A250" t="s">
        <v>203</v>
      </c>
      <c r="B250" t="s">
        <v>1966</v>
      </c>
    </row>
    <row r="251" spans="1:2" x14ac:dyDescent="0.25">
      <c r="A251" t="s">
        <v>203</v>
      </c>
      <c r="B251" t="s">
        <v>213</v>
      </c>
    </row>
    <row r="252" spans="1:2" x14ac:dyDescent="0.25">
      <c r="A252" t="s">
        <v>203</v>
      </c>
      <c r="B252" t="s">
        <v>213</v>
      </c>
    </row>
    <row r="253" spans="1:2" x14ac:dyDescent="0.25">
      <c r="A253" t="s">
        <v>203</v>
      </c>
      <c r="B253" t="s">
        <v>767</v>
      </c>
    </row>
    <row r="254" spans="1:2" x14ac:dyDescent="0.25">
      <c r="A254" t="s">
        <v>201</v>
      </c>
      <c r="B254" t="s">
        <v>1967</v>
      </c>
    </row>
    <row r="255" spans="1:2" x14ac:dyDescent="0.25">
      <c r="A255" t="s">
        <v>201</v>
      </c>
      <c r="B255" t="s">
        <v>74</v>
      </c>
    </row>
    <row r="256" spans="1:2" x14ac:dyDescent="0.25">
      <c r="A256" t="s">
        <v>203</v>
      </c>
      <c r="B256" t="s">
        <v>852</v>
      </c>
    </row>
    <row r="257" spans="1:2" x14ac:dyDescent="0.25">
      <c r="A257" t="s">
        <v>201</v>
      </c>
      <c r="B257" t="s">
        <v>926</v>
      </c>
    </row>
    <row r="258" spans="1:2" x14ac:dyDescent="0.25">
      <c r="A258" t="s">
        <v>201</v>
      </c>
      <c r="B258" t="s">
        <v>214</v>
      </c>
    </row>
    <row r="259" spans="1:2" x14ac:dyDescent="0.25">
      <c r="A259" t="s">
        <v>203</v>
      </c>
      <c r="B259" t="s">
        <v>1968</v>
      </c>
    </row>
    <row r="260" spans="1:2" x14ac:dyDescent="0.25">
      <c r="A260" t="s">
        <v>201</v>
      </c>
      <c r="B260" t="s">
        <v>1969</v>
      </c>
    </row>
    <row r="261" spans="1:2" x14ac:dyDescent="0.25">
      <c r="A261" t="s">
        <v>201</v>
      </c>
      <c r="B261" t="s">
        <v>1970</v>
      </c>
    </row>
    <row r="262" spans="1:2" x14ac:dyDescent="0.25">
      <c r="A262" t="s">
        <v>201</v>
      </c>
      <c r="B262" t="s">
        <v>1971</v>
      </c>
    </row>
    <row r="263" spans="1:2" x14ac:dyDescent="0.25">
      <c r="A263" t="s">
        <v>208</v>
      </c>
      <c r="B263" t="s">
        <v>1972</v>
      </c>
    </row>
    <row r="264" spans="1:2" x14ac:dyDescent="0.25">
      <c r="A264" t="s">
        <v>201</v>
      </c>
      <c r="B264" t="s">
        <v>1973</v>
      </c>
    </row>
    <row r="265" spans="1:2" x14ac:dyDescent="0.25">
      <c r="A265" t="s">
        <v>201</v>
      </c>
      <c r="B265" t="s">
        <v>212</v>
      </c>
    </row>
    <row r="266" spans="1:2" x14ac:dyDescent="0.25">
      <c r="A266" t="s">
        <v>203</v>
      </c>
      <c r="B266" t="s">
        <v>1957</v>
      </c>
    </row>
    <row r="267" spans="1:2" x14ac:dyDescent="0.25">
      <c r="A267" t="s">
        <v>203</v>
      </c>
      <c r="B267" t="s">
        <v>1974</v>
      </c>
    </row>
    <row r="268" spans="1:2" x14ac:dyDescent="0.25">
      <c r="A268" t="s">
        <v>203</v>
      </c>
      <c r="B268" t="s">
        <v>1975</v>
      </c>
    </row>
    <row r="269" spans="1:2" x14ac:dyDescent="0.25">
      <c r="A269" t="s">
        <v>201</v>
      </c>
      <c r="B269" t="s">
        <v>1858</v>
      </c>
    </row>
    <row r="270" spans="1:2" x14ac:dyDescent="0.25">
      <c r="A270" t="s">
        <v>201</v>
      </c>
      <c r="B270" t="s">
        <v>309</v>
      </c>
    </row>
    <row r="271" spans="1:2" x14ac:dyDescent="0.25">
      <c r="A271" t="s">
        <v>201</v>
      </c>
      <c r="B271" t="s">
        <v>1976</v>
      </c>
    </row>
    <row r="272" spans="1:2" x14ac:dyDescent="0.25">
      <c r="A272" t="s">
        <v>203</v>
      </c>
      <c r="B272" t="s">
        <v>1977</v>
      </c>
    </row>
    <row r="273" spans="1:2" x14ac:dyDescent="0.25">
      <c r="A273" t="s">
        <v>203</v>
      </c>
      <c r="B273" t="s">
        <v>1978</v>
      </c>
    </row>
    <row r="274" spans="1:2" x14ac:dyDescent="0.25">
      <c r="A274" t="s">
        <v>201</v>
      </c>
      <c r="B274" t="s">
        <v>1979</v>
      </c>
    </row>
    <row r="275" spans="1:2" x14ac:dyDescent="0.25">
      <c r="A275" t="s">
        <v>208</v>
      </c>
      <c r="B275" t="s">
        <v>304</v>
      </c>
    </row>
    <row r="276" spans="1:2" x14ac:dyDescent="0.25">
      <c r="A276" t="s">
        <v>201</v>
      </c>
      <c r="B276" t="s">
        <v>703</v>
      </c>
    </row>
    <row r="277" spans="1:2" x14ac:dyDescent="0.25">
      <c r="A277" t="s">
        <v>203</v>
      </c>
      <c r="B277" t="s">
        <v>391</v>
      </c>
    </row>
    <row r="278" spans="1:2" x14ac:dyDescent="0.25">
      <c r="A278" t="s">
        <v>208</v>
      </c>
      <c r="B278" t="s">
        <v>1980</v>
      </c>
    </row>
    <row r="279" spans="1:2" x14ac:dyDescent="0.25">
      <c r="A279" t="s">
        <v>203</v>
      </c>
      <c r="B279" t="s">
        <v>762</v>
      </c>
    </row>
    <row r="280" spans="1:2" x14ac:dyDescent="0.25">
      <c r="A280" t="s">
        <v>201</v>
      </c>
      <c r="B280" t="s">
        <v>212</v>
      </c>
    </row>
    <row r="281" spans="1:2" x14ac:dyDescent="0.25">
      <c r="A281" t="s">
        <v>203</v>
      </c>
      <c r="B281" t="s">
        <v>1981</v>
      </c>
    </row>
    <row r="282" spans="1:2" x14ac:dyDescent="0.25">
      <c r="A282" t="s">
        <v>201</v>
      </c>
      <c r="B282" t="s">
        <v>1982</v>
      </c>
    </row>
    <row r="283" spans="1:2" x14ac:dyDescent="0.25">
      <c r="A283" t="s">
        <v>203</v>
      </c>
      <c r="B283" t="s">
        <v>1983</v>
      </c>
    </row>
    <row r="284" spans="1:2" x14ac:dyDescent="0.25">
      <c r="A284" t="s">
        <v>203</v>
      </c>
      <c r="B284" t="s">
        <v>1984</v>
      </c>
    </row>
    <row r="285" spans="1:2" x14ac:dyDescent="0.25">
      <c r="A285" t="s">
        <v>203</v>
      </c>
      <c r="B285" t="s">
        <v>331</v>
      </c>
    </row>
    <row r="286" spans="1:2" x14ac:dyDescent="0.25">
      <c r="A286" t="s">
        <v>201</v>
      </c>
      <c r="B286" t="s">
        <v>251</v>
      </c>
    </row>
    <row r="287" spans="1:2" x14ac:dyDescent="0.25">
      <c r="A287" t="s">
        <v>203</v>
      </c>
      <c r="B287" t="s">
        <v>206</v>
      </c>
    </row>
    <row r="288" spans="1:2" x14ac:dyDescent="0.25">
      <c r="A288" t="s">
        <v>203</v>
      </c>
      <c r="B288" t="s">
        <v>1985</v>
      </c>
    </row>
    <row r="289" spans="1:2" x14ac:dyDescent="0.25">
      <c r="A289" t="s">
        <v>203</v>
      </c>
      <c r="B289" t="s">
        <v>1986</v>
      </c>
    </row>
    <row r="290" spans="1:2" x14ac:dyDescent="0.25">
      <c r="A290" t="s">
        <v>208</v>
      </c>
      <c r="B290" t="s">
        <v>1987</v>
      </c>
    </row>
    <row r="291" spans="1:2" x14ac:dyDescent="0.25">
      <c r="A291" t="s">
        <v>203</v>
      </c>
      <c r="B291" t="s">
        <v>218</v>
      </c>
    </row>
    <row r="292" spans="1:2" x14ac:dyDescent="0.25">
      <c r="A292" t="s">
        <v>203</v>
      </c>
      <c r="B292" t="s">
        <v>1988</v>
      </c>
    </row>
    <row r="293" spans="1:2" x14ac:dyDescent="0.25">
      <c r="A293" t="s">
        <v>203</v>
      </c>
      <c r="B293" t="s">
        <v>1870</v>
      </c>
    </row>
    <row r="294" spans="1:2" x14ac:dyDescent="0.25">
      <c r="A294" t="s">
        <v>203</v>
      </c>
      <c r="B294" t="s">
        <v>1989</v>
      </c>
    </row>
    <row r="295" spans="1:2" x14ac:dyDescent="0.25">
      <c r="A295" t="s">
        <v>201</v>
      </c>
      <c r="B295" t="s">
        <v>1990</v>
      </c>
    </row>
    <row r="296" spans="1:2" x14ac:dyDescent="0.25">
      <c r="A296" t="s">
        <v>203</v>
      </c>
      <c r="B296" t="s">
        <v>218</v>
      </c>
    </row>
    <row r="297" spans="1:2" x14ac:dyDescent="0.25">
      <c r="A297" t="s">
        <v>203</v>
      </c>
      <c r="B297" t="s">
        <v>1991</v>
      </c>
    </row>
    <row r="298" spans="1:2" x14ac:dyDescent="0.25">
      <c r="A298" t="s">
        <v>208</v>
      </c>
      <c r="B298" t="s">
        <v>1992</v>
      </c>
    </row>
    <row r="299" spans="1:2" x14ac:dyDescent="0.25">
      <c r="A299" t="s">
        <v>203</v>
      </c>
      <c r="B299" t="s">
        <v>218</v>
      </c>
    </row>
    <row r="300" spans="1:2" x14ac:dyDescent="0.25">
      <c r="A300" t="s">
        <v>203</v>
      </c>
      <c r="B300" t="s">
        <v>1993</v>
      </c>
    </row>
    <row r="301" spans="1:2" x14ac:dyDescent="0.25">
      <c r="A301" t="s">
        <v>208</v>
      </c>
      <c r="B301" t="s">
        <v>1994</v>
      </c>
    </row>
    <row r="302" spans="1:2" x14ac:dyDescent="0.25">
      <c r="A302" t="s">
        <v>203</v>
      </c>
      <c r="B302" t="s">
        <v>1995</v>
      </c>
    </row>
    <row r="303" spans="1:2" x14ac:dyDescent="0.25">
      <c r="A303" t="s">
        <v>201</v>
      </c>
      <c r="B303" t="s">
        <v>1831</v>
      </c>
    </row>
    <row r="304" spans="1:2" x14ac:dyDescent="0.25">
      <c r="A304" t="s">
        <v>203</v>
      </c>
      <c r="B304" t="s">
        <v>331</v>
      </c>
    </row>
    <row r="305" spans="1:2" x14ac:dyDescent="0.25">
      <c r="A305" t="s">
        <v>203</v>
      </c>
      <c r="B305" t="s">
        <v>553</v>
      </c>
    </row>
    <row r="306" spans="1:2" x14ac:dyDescent="0.25">
      <c r="A306" t="s">
        <v>208</v>
      </c>
      <c r="B306" t="s">
        <v>1996</v>
      </c>
    </row>
    <row r="307" spans="1:2" x14ac:dyDescent="0.25">
      <c r="A307" t="s">
        <v>203</v>
      </c>
      <c r="B307" t="s">
        <v>335</v>
      </c>
    </row>
    <row r="308" spans="1:2" x14ac:dyDescent="0.25">
      <c r="A308" t="s">
        <v>203</v>
      </c>
      <c r="B308" t="s">
        <v>1997</v>
      </c>
    </row>
    <row r="309" spans="1:2" x14ac:dyDescent="0.25">
      <c r="A309" t="s">
        <v>208</v>
      </c>
      <c r="B309" t="s">
        <v>1998</v>
      </c>
    </row>
    <row r="310" spans="1:2" x14ac:dyDescent="0.25">
      <c r="A310" t="s">
        <v>203</v>
      </c>
      <c r="B310" t="s">
        <v>218</v>
      </c>
    </row>
    <row r="311" spans="1:2" x14ac:dyDescent="0.25">
      <c r="A311" t="s">
        <v>201</v>
      </c>
      <c r="B311" t="s">
        <v>786</v>
      </c>
    </row>
    <row r="312" spans="1:2" x14ac:dyDescent="0.25">
      <c r="A312" t="s">
        <v>203</v>
      </c>
      <c r="B312" t="s">
        <v>1999</v>
      </c>
    </row>
    <row r="313" spans="1:2" x14ac:dyDescent="0.25">
      <c r="A313" t="s">
        <v>203</v>
      </c>
      <c r="B313" t="s">
        <v>213</v>
      </c>
    </row>
    <row r="314" spans="1:2" x14ac:dyDescent="0.25">
      <c r="A314" t="s">
        <v>203</v>
      </c>
      <c r="B314" t="s">
        <v>2000</v>
      </c>
    </row>
    <row r="315" spans="1:2" x14ac:dyDescent="0.25">
      <c r="A315" t="s">
        <v>201</v>
      </c>
      <c r="B315" t="s">
        <v>375</v>
      </c>
    </row>
    <row r="316" spans="1:2" x14ac:dyDescent="0.25">
      <c r="A316" t="s">
        <v>201</v>
      </c>
      <c r="B316" t="s">
        <v>263</v>
      </c>
    </row>
    <row r="317" spans="1:2" x14ac:dyDescent="0.25">
      <c r="A317" t="s">
        <v>203</v>
      </c>
      <c r="B317" t="s">
        <v>2001</v>
      </c>
    </row>
    <row r="318" spans="1:2" x14ac:dyDescent="0.25">
      <c r="A318" t="s">
        <v>203</v>
      </c>
      <c r="B318" t="s">
        <v>1864</v>
      </c>
    </row>
    <row r="319" spans="1:2" x14ac:dyDescent="0.25">
      <c r="A319" t="s">
        <v>201</v>
      </c>
      <c r="B319" t="s">
        <v>2002</v>
      </c>
    </row>
    <row r="320" spans="1:2" x14ac:dyDescent="0.25">
      <c r="A320" t="s">
        <v>203</v>
      </c>
      <c r="B320" t="s">
        <v>2003</v>
      </c>
    </row>
    <row r="321" spans="1:2" x14ac:dyDescent="0.25">
      <c r="A321" t="s">
        <v>208</v>
      </c>
      <c r="B321" t="s">
        <v>1359</v>
      </c>
    </row>
    <row r="322" spans="1:2" x14ac:dyDescent="0.25">
      <c r="A322" t="s">
        <v>203</v>
      </c>
      <c r="B322" t="s">
        <v>2004</v>
      </c>
    </row>
    <row r="323" spans="1:2" x14ac:dyDescent="0.25">
      <c r="A323" t="s">
        <v>203</v>
      </c>
      <c r="B323" t="s">
        <v>2005</v>
      </c>
    </row>
    <row r="324" spans="1:2" x14ac:dyDescent="0.25">
      <c r="A324" t="s">
        <v>203</v>
      </c>
      <c r="B324" t="s">
        <v>2006</v>
      </c>
    </row>
    <row r="325" spans="1:2" x14ac:dyDescent="0.25">
      <c r="A325" t="s">
        <v>208</v>
      </c>
      <c r="B325" t="s">
        <v>2007</v>
      </c>
    </row>
    <row r="326" spans="1:2" x14ac:dyDescent="0.25">
      <c r="A326" t="s">
        <v>203</v>
      </c>
      <c r="B326" t="s">
        <v>2008</v>
      </c>
    </row>
    <row r="327" spans="1:2" x14ac:dyDescent="0.25">
      <c r="A327" t="s">
        <v>203</v>
      </c>
      <c r="B327" t="s">
        <v>26</v>
      </c>
    </row>
    <row r="328" spans="1:2" x14ac:dyDescent="0.25">
      <c r="A328" t="s">
        <v>226</v>
      </c>
      <c r="B328" t="s">
        <v>2009</v>
      </c>
    </row>
    <row r="329" spans="1:2" x14ac:dyDescent="0.25">
      <c r="A329" t="s">
        <v>201</v>
      </c>
      <c r="B329" t="s">
        <v>2010</v>
      </c>
    </row>
    <row r="330" spans="1:2" x14ac:dyDescent="0.25">
      <c r="A330" t="s">
        <v>203</v>
      </c>
      <c r="B330" t="s">
        <v>2011</v>
      </c>
    </row>
    <row r="331" spans="1:2" x14ac:dyDescent="0.25">
      <c r="A331" t="s">
        <v>203</v>
      </c>
      <c r="B331" t="s">
        <v>214</v>
      </c>
    </row>
    <row r="332" spans="1:2" x14ac:dyDescent="0.25">
      <c r="A332" t="s">
        <v>203</v>
      </c>
      <c r="B332" t="s">
        <v>2012</v>
      </c>
    </row>
    <row r="333" spans="1:2" x14ac:dyDescent="0.25">
      <c r="A333" t="s">
        <v>203</v>
      </c>
      <c r="B333" t="s">
        <v>229</v>
      </c>
    </row>
    <row r="334" spans="1:2" x14ac:dyDescent="0.25">
      <c r="A334" t="s">
        <v>201</v>
      </c>
      <c r="B334" t="s">
        <v>2013</v>
      </c>
    </row>
    <row r="335" spans="1:2" x14ac:dyDescent="0.25">
      <c r="A335" t="s">
        <v>201</v>
      </c>
      <c r="B335" t="s">
        <v>2014</v>
      </c>
    </row>
    <row r="336" spans="1:2" x14ac:dyDescent="0.25">
      <c r="A336" t="s">
        <v>201</v>
      </c>
      <c r="B336" t="s">
        <v>2015</v>
      </c>
    </row>
    <row r="337" spans="1:2" x14ac:dyDescent="0.25">
      <c r="A337" t="s">
        <v>201</v>
      </c>
      <c r="B337" t="s">
        <v>2016</v>
      </c>
    </row>
    <row r="338" spans="1:2" x14ac:dyDescent="0.25">
      <c r="A338" t="s">
        <v>201</v>
      </c>
      <c r="B338" t="s">
        <v>1985</v>
      </c>
    </row>
    <row r="339" spans="1:2" x14ac:dyDescent="0.25">
      <c r="A339" t="s">
        <v>201</v>
      </c>
      <c r="B339" t="s">
        <v>212</v>
      </c>
    </row>
    <row r="340" spans="1:2" x14ac:dyDescent="0.25">
      <c r="A340" t="s">
        <v>208</v>
      </c>
      <c r="B340" t="s">
        <v>2017</v>
      </c>
    </row>
    <row r="341" spans="1:2" x14ac:dyDescent="0.25">
      <c r="A341" t="s">
        <v>203</v>
      </c>
      <c r="B341" t="s">
        <v>2018</v>
      </c>
    </row>
    <row r="342" spans="1:2" x14ac:dyDescent="0.25">
      <c r="A342" t="s">
        <v>201</v>
      </c>
      <c r="B342" t="s">
        <v>78</v>
      </c>
    </row>
    <row r="343" spans="1:2" x14ac:dyDescent="0.25">
      <c r="A343" t="s">
        <v>203</v>
      </c>
      <c r="B343" t="s">
        <v>2019</v>
      </c>
    </row>
    <row r="344" spans="1:2" x14ac:dyDescent="0.25">
      <c r="A344" t="s">
        <v>201</v>
      </c>
      <c r="B344" t="s">
        <v>2020</v>
      </c>
    </row>
    <row r="345" spans="1:2" x14ac:dyDescent="0.25">
      <c r="A345" t="s">
        <v>208</v>
      </c>
      <c r="B345" t="s">
        <v>2021</v>
      </c>
    </row>
    <row r="346" spans="1:2" x14ac:dyDescent="0.25">
      <c r="A346" t="s">
        <v>203</v>
      </c>
      <c r="B346" t="s">
        <v>2022</v>
      </c>
    </row>
    <row r="347" spans="1:2" x14ac:dyDescent="0.25">
      <c r="A347" t="s">
        <v>201</v>
      </c>
      <c r="B347" t="s">
        <v>1909</v>
      </c>
    </row>
    <row r="348" spans="1:2" x14ac:dyDescent="0.25">
      <c r="A348" t="s">
        <v>203</v>
      </c>
      <c r="B348" t="s">
        <v>213</v>
      </c>
    </row>
    <row r="349" spans="1:2" x14ac:dyDescent="0.25">
      <c r="A349" t="s">
        <v>203</v>
      </c>
      <c r="B349" t="s">
        <v>1338</v>
      </c>
    </row>
    <row r="350" spans="1:2" x14ac:dyDescent="0.25">
      <c r="A350" t="s">
        <v>208</v>
      </c>
      <c r="B350" t="s">
        <v>1980</v>
      </c>
    </row>
    <row r="351" spans="1:2" x14ac:dyDescent="0.25">
      <c r="A351" t="s">
        <v>203</v>
      </c>
      <c r="B351" t="s">
        <v>46</v>
      </c>
    </row>
    <row r="352" spans="1:2" x14ac:dyDescent="0.25">
      <c r="A352" t="s">
        <v>201</v>
      </c>
      <c r="B352" t="s">
        <v>2023</v>
      </c>
    </row>
    <row r="353" spans="1:2" x14ac:dyDescent="0.25">
      <c r="A353" t="s">
        <v>201</v>
      </c>
      <c r="B353" t="s">
        <v>2024</v>
      </c>
    </row>
    <row r="354" spans="1:2" x14ac:dyDescent="0.25">
      <c r="A354" t="s">
        <v>201</v>
      </c>
      <c r="B354" t="s">
        <v>912</v>
      </c>
    </row>
    <row r="355" spans="1:2" x14ac:dyDescent="0.25">
      <c r="A355" t="s">
        <v>203</v>
      </c>
      <c r="B355" t="s">
        <v>2025</v>
      </c>
    </row>
    <row r="356" spans="1:2" x14ac:dyDescent="0.25">
      <c r="A356" t="s">
        <v>203</v>
      </c>
      <c r="B356" t="s">
        <v>2026</v>
      </c>
    </row>
    <row r="357" spans="1:2" x14ac:dyDescent="0.25">
      <c r="A357" t="s">
        <v>201</v>
      </c>
      <c r="B357" t="s">
        <v>2027</v>
      </c>
    </row>
    <row r="358" spans="1:2" x14ac:dyDescent="0.25">
      <c r="A358" t="s">
        <v>203</v>
      </c>
      <c r="B358" t="s">
        <v>260</v>
      </c>
    </row>
    <row r="359" spans="1:2" x14ac:dyDescent="0.25">
      <c r="A359" t="s">
        <v>208</v>
      </c>
      <c r="B359" t="s">
        <v>1837</v>
      </c>
    </row>
    <row r="360" spans="1:2" x14ac:dyDescent="0.25">
      <c r="A360" t="s">
        <v>203</v>
      </c>
      <c r="B360" t="s">
        <v>46</v>
      </c>
    </row>
    <row r="361" spans="1:2" x14ac:dyDescent="0.25">
      <c r="A361" t="s">
        <v>203</v>
      </c>
      <c r="B361" t="s">
        <v>78</v>
      </c>
    </row>
    <row r="362" spans="1:2" x14ac:dyDescent="0.25">
      <c r="A362" t="s">
        <v>203</v>
      </c>
      <c r="B362" t="s">
        <v>2028</v>
      </c>
    </row>
    <row r="363" spans="1:2" x14ac:dyDescent="0.25">
      <c r="A363" t="s">
        <v>203</v>
      </c>
      <c r="B363" t="s">
        <v>2029</v>
      </c>
    </row>
    <row r="364" spans="1:2" x14ac:dyDescent="0.25">
      <c r="A364" t="s">
        <v>203</v>
      </c>
      <c r="B364" t="s">
        <v>206</v>
      </c>
    </row>
    <row r="365" spans="1:2" x14ac:dyDescent="0.25">
      <c r="A365" t="s">
        <v>221</v>
      </c>
      <c r="B365" t="s">
        <v>2030</v>
      </c>
    </row>
    <row r="366" spans="1:2" x14ac:dyDescent="0.25">
      <c r="A366" t="s">
        <v>201</v>
      </c>
      <c r="B366" t="s">
        <v>1695</v>
      </c>
    </row>
    <row r="367" spans="1:2" x14ac:dyDescent="0.25">
      <c r="A367" t="s">
        <v>201</v>
      </c>
      <c r="B367" t="s">
        <v>2031</v>
      </c>
    </row>
    <row r="368" spans="1:2" x14ac:dyDescent="0.25">
      <c r="A368" t="s">
        <v>201</v>
      </c>
      <c r="B368" t="s">
        <v>212</v>
      </c>
    </row>
    <row r="369" spans="1:2" x14ac:dyDescent="0.25">
      <c r="A369" t="s">
        <v>221</v>
      </c>
      <c r="B369" t="s">
        <v>375</v>
      </c>
    </row>
    <row r="370" spans="1:2" x14ac:dyDescent="0.25">
      <c r="A370" t="s">
        <v>208</v>
      </c>
      <c r="B370" t="s">
        <v>2032</v>
      </c>
    </row>
    <row r="371" spans="1:2" x14ac:dyDescent="0.25">
      <c r="A371" t="s">
        <v>208</v>
      </c>
      <c r="B371" t="s">
        <v>2033</v>
      </c>
    </row>
    <row r="372" spans="1:2" x14ac:dyDescent="0.25">
      <c r="A372" t="s">
        <v>208</v>
      </c>
      <c r="B372" t="s">
        <v>78</v>
      </c>
    </row>
    <row r="373" spans="1:2" x14ac:dyDescent="0.25">
      <c r="A373" t="s">
        <v>201</v>
      </c>
      <c r="B373" t="s">
        <v>263</v>
      </c>
    </row>
    <row r="374" spans="1:2" x14ac:dyDescent="0.25">
      <c r="A374" t="s">
        <v>203</v>
      </c>
      <c r="B374" t="s">
        <v>2034</v>
      </c>
    </row>
    <row r="375" spans="1:2" x14ac:dyDescent="0.25">
      <c r="A375" t="s">
        <v>203</v>
      </c>
      <c r="B375" t="s">
        <v>2035</v>
      </c>
    </row>
    <row r="376" spans="1:2" x14ac:dyDescent="0.25">
      <c r="A376" t="s">
        <v>203</v>
      </c>
      <c r="B376" t="s">
        <v>2036</v>
      </c>
    </row>
    <row r="377" spans="1:2" x14ac:dyDescent="0.25">
      <c r="A377" t="s">
        <v>221</v>
      </c>
      <c r="B377" t="s">
        <v>2037</v>
      </c>
    </row>
    <row r="378" spans="1:2" x14ac:dyDescent="0.25">
      <c r="A378" t="s">
        <v>203</v>
      </c>
      <c r="B378" t="s">
        <v>2038</v>
      </c>
    </row>
    <row r="379" spans="1:2" x14ac:dyDescent="0.25">
      <c r="A379" t="s">
        <v>221</v>
      </c>
      <c r="B379" t="s">
        <v>398</v>
      </c>
    </row>
    <row r="380" spans="1:2" x14ac:dyDescent="0.25">
      <c r="A380" t="s">
        <v>226</v>
      </c>
      <c r="B380" t="s">
        <v>2039</v>
      </c>
    </row>
    <row r="381" spans="1:2" x14ac:dyDescent="0.25">
      <c r="A381" t="s">
        <v>203</v>
      </c>
      <c r="B381" t="s">
        <v>1646</v>
      </c>
    </row>
    <row r="382" spans="1:2" x14ac:dyDescent="0.25">
      <c r="A382" t="s">
        <v>203</v>
      </c>
      <c r="B382" t="s">
        <v>1909</v>
      </c>
    </row>
    <row r="383" spans="1:2" x14ac:dyDescent="0.25">
      <c r="A383" t="s">
        <v>203</v>
      </c>
      <c r="B383" t="s">
        <v>2040</v>
      </c>
    </row>
    <row r="384" spans="1:2" x14ac:dyDescent="0.25">
      <c r="A384" t="s">
        <v>203</v>
      </c>
      <c r="B384" t="s">
        <v>263</v>
      </c>
    </row>
    <row r="385" spans="1:2" x14ac:dyDescent="0.25">
      <c r="A385" t="s">
        <v>203</v>
      </c>
      <c r="B385" t="s">
        <v>2003</v>
      </c>
    </row>
    <row r="386" spans="1:2" x14ac:dyDescent="0.25">
      <c r="A386" t="s">
        <v>201</v>
      </c>
      <c r="B386" t="s">
        <v>212</v>
      </c>
    </row>
    <row r="387" spans="1:2" x14ac:dyDescent="0.25">
      <c r="A387" t="s">
        <v>201</v>
      </c>
      <c r="B387" t="s">
        <v>2041</v>
      </c>
    </row>
    <row r="388" spans="1:2" x14ac:dyDescent="0.25">
      <c r="A388" t="s">
        <v>203</v>
      </c>
      <c r="B388" t="s">
        <v>111</v>
      </c>
    </row>
    <row r="389" spans="1:2" x14ac:dyDescent="0.25">
      <c r="A389" t="s">
        <v>208</v>
      </c>
      <c r="B389" t="s">
        <v>2042</v>
      </c>
    </row>
    <row r="390" spans="1:2" x14ac:dyDescent="0.25">
      <c r="A390" t="s">
        <v>226</v>
      </c>
      <c r="B390" t="s">
        <v>2043</v>
      </c>
    </row>
    <row r="391" spans="1:2" x14ac:dyDescent="0.25">
      <c r="A391" t="s">
        <v>201</v>
      </c>
      <c r="B391" t="s">
        <v>2044</v>
      </c>
    </row>
    <row r="392" spans="1:2" x14ac:dyDescent="0.25">
      <c r="A392" t="s">
        <v>203</v>
      </c>
      <c r="B392" t="s">
        <v>2045</v>
      </c>
    </row>
    <row r="393" spans="1:2" x14ac:dyDescent="0.25">
      <c r="A393" t="s">
        <v>203</v>
      </c>
      <c r="B393" t="s">
        <v>2046</v>
      </c>
    </row>
    <row r="394" spans="1:2" x14ac:dyDescent="0.25">
      <c r="A394" t="s">
        <v>203</v>
      </c>
      <c r="B394" t="s">
        <v>2047</v>
      </c>
    </row>
    <row r="395" spans="1:2" x14ac:dyDescent="0.25">
      <c r="A395" t="s">
        <v>203</v>
      </c>
      <c r="B395" t="s">
        <v>2048</v>
      </c>
    </row>
    <row r="396" spans="1:2" x14ac:dyDescent="0.25">
      <c r="A396" t="s">
        <v>203</v>
      </c>
      <c r="B396" t="s">
        <v>2049</v>
      </c>
    </row>
    <row r="397" spans="1:2" x14ac:dyDescent="0.25">
      <c r="A397" t="s">
        <v>201</v>
      </c>
      <c r="B397" t="s">
        <v>2050</v>
      </c>
    </row>
    <row r="398" spans="1:2" x14ac:dyDescent="0.25">
      <c r="A398" t="s">
        <v>201</v>
      </c>
      <c r="B398" t="s">
        <v>2051</v>
      </c>
    </row>
    <row r="399" spans="1:2" x14ac:dyDescent="0.25">
      <c r="A399" t="s">
        <v>201</v>
      </c>
      <c r="B399" t="s">
        <v>398</v>
      </c>
    </row>
    <row r="400" spans="1:2" x14ac:dyDescent="0.25">
      <c r="A400" t="s">
        <v>203</v>
      </c>
      <c r="B400" t="s">
        <v>530</v>
      </c>
    </row>
    <row r="401" spans="1:2" x14ac:dyDescent="0.25">
      <c r="A401" t="s">
        <v>203</v>
      </c>
      <c r="B401" t="s">
        <v>2052</v>
      </c>
    </row>
    <row r="402" spans="1:2" x14ac:dyDescent="0.25">
      <c r="A402" t="s">
        <v>203</v>
      </c>
      <c r="B402" t="s">
        <v>2053</v>
      </c>
    </row>
    <row r="403" spans="1:2" x14ac:dyDescent="0.25">
      <c r="A403" t="s">
        <v>203</v>
      </c>
      <c r="B403" t="s">
        <v>2054</v>
      </c>
    </row>
    <row r="404" spans="1:2" x14ac:dyDescent="0.25">
      <c r="A404" t="s">
        <v>208</v>
      </c>
      <c r="B404" t="s">
        <v>2055</v>
      </c>
    </row>
    <row r="405" spans="1:2" x14ac:dyDescent="0.25">
      <c r="A405" t="s">
        <v>203</v>
      </c>
      <c r="B405" t="s">
        <v>2056</v>
      </c>
    </row>
    <row r="406" spans="1:2" x14ac:dyDescent="0.25">
      <c r="A406" t="s">
        <v>203</v>
      </c>
      <c r="B406" t="s">
        <v>1959</v>
      </c>
    </row>
    <row r="407" spans="1:2" x14ac:dyDescent="0.25">
      <c r="A407" t="s">
        <v>201</v>
      </c>
      <c r="B407" t="s">
        <v>2057</v>
      </c>
    </row>
    <row r="408" spans="1:2" x14ac:dyDescent="0.25">
      <c r="A408" t="s">
        <v>203</v>
      </c>
      <c r="B408" t="s">
        <v>1956</v>
      </c>
    </row>
    <row r="409" spans="1:2" x14ac:dyDescent="0.25">
      <c r="A409" t="s">
        <v>221</v>
      </c>
      <c r="B409" t="s">
        <v>2051</v>
      </c>
    </row>
    <row r="410" spans="1:2" x14ac:dyDescent="0.25">
      <c r="A410" t="s">
        <v>201</v>
      </c>
      <c r="B410" t="s">
        <v>2058</v>
      </c>
    </row>
    <row r="411" spans="1:2" x14ac:dyDescent="0.25">
      <c r="A411" t="s">
        <v>203</v>
      </c>
      <c r="B411" t="s">
        <v>1359</v>
      </c>
    </row>
    <row r="412" spans="1:2" x14ac:dyDescent="0.25">
      <c r="A412" t="s">
        <v>203</v>
      </c>
      <c r="B412" t="s">
        <v>2059</v>
      </c>
    </row>
    <row r="413" spans="1:2" x14ac:dyDescent="0.25">
      <c r="A413" t="s">
        <v>203</v>
      </c>
      <c r="B413" t="s">
        <v>206</v>
      </c>
    </row>
    <row r="414" spans="1:2" x14ac:dyDescent="0.25">
      <c r="A414" t="s">
        <v>201</v>
      </c>
      <c r="B414" t="s">
        <v>2060</v>
      </c>
    </row>
    <row r="415" spans="1:2" x14ac:dyDescent="0.25">
      <c r="A415" t="s">
        <v>203</v>
      </c>
      <c r="B415" t="s">
        <v>922</v>
      </c>
    </row>
    <row r="416" spans="1:2" x14ac:dyDescent="0.25">
      <c r="A416" t="s">
        <v>201</v>
      </c>
      <c r="B416" t="s">
        <v>229</v>
      </c>
    </row>
    <row r="417" spans="1:2" x14ac:dyDescent="0.25">
      <c r="A417" t="s">
        <v>208</v>
      </c>
      <c r="B417" t="s">
        <v>1837</v>
      </c>
    </row>
    <row r="418" spans="1:2" x14ac:dyDescent="0.25">
      <c r="A418" t="s">
        <v>208</v>
      </c>
      <c r="B418" t="s">
        <v>2061</v>
      </c>
    </row>
    <row r="419" spans="1:2" x14ac:dyDescent="0.25">
      <c r="A419" t="s">
        <v>201</v>
      </c>
      <c r="B419" t="s">
        <v>2062</v>
      </c>
    </row>
    <row r="420" spans="1:2" x14ac:dyDescent="0.25">
      <c r="A420" t="s">
        <v>221</v>
      </c>
      <c r="B420" t="s">
        <v>2063</v>
      </c>
    </row>
    <row r="421" spans="1:2" x14ac:dyDescent="0.25">
      <c r="A421" t="s">
        <v>201</v>
      </c>
      <c r="B421" t="s">
        <v>263</v>
      </c>
    </row>
    <row r="422" spans="1:2" x14ac:dyDescent="0.25">
      <c r="A422" t="s">
        <v>208</v>
      </c>
      <c r="B422" t="s">
        <v>133</v>
      </c>
    </row>
    <row r="423" spans="1:2" x14ac:dyDescent="0.25">
      <c r="A423" t="s">
        <v>208</v>
      </c>
      <c r="B423" t="s">
        <v>2064</v>
      </c>
    </row>
    <row r="424" spans="1:2" x14ac:dyDescent="0.25">
      <c r="A424" t="s">
        <v>201</v>
      </c>
      <c r="B424" t="s">
        <v>398</v>
      </c>
    </row>
    <row r="425" spans="1:2" x14ac:dyDescent="0.25">
      <c r="A425" t="s">
        <v>201</v>
      </c>
      <c r="B425" t="s">
        <v>2065</v>
      </c>
    </row>
    <row r="426" spans="1:2" x14ac:dyDescent="0.25">
      <c r="A426" t="s">
        <v>203</v>
      </c>
      <c r="B426" t="s">
        <v>2066</v>
      </c>
    </row>
    <row r="427" spans="1:2" x14ac:dyDescent="0.25">
      <c r="A427" t="s">
        <v>201</v>
      </c>
      <c r="B427" t="s">
        <v>2067</v>
      </c>
    </row>
    <row r="428" spans="1:2" x14ac:dyDescent="0.25">
      <c r="A428" t="s">
        <v>203</v>
      </c>
      <c r="B428" t="s">
        <v>2068</v>
      </c>
    </row>
    <row r="429" spans="1:2" x14ac:dyDescent="0.25">
      <c r="A429" t="s">
        <v>203</v>
      </c>
      <c r="B429" t="s">
        <v>218</v>
      </c>
    </row>
    <row r="430" spans="1:2" x14ac:dyDescent="0.25">
      <c r="A430" t="s">
        <v>203</v>
      </c>
      <c r="B430" t="s">
        <v>2069</v>
      </c>
    </row>
    <row r="431" spans="1:2" x14ac:dyDescent="0.25">
      <c r="A431" t="s">
        <v>201</v>
      </c>
      <c r="B431" t="s">
        <v>2070</v>
      </c>
    </row>
    <row r="432" spans="1:2" x14ac:dyDescent="0.25">
      <c r="A432" t="s">
        <v>201</v>
      </c>
      <c r="B432" t="s">
        <v>280</v>
      </c>
    </row>
    <row r="433" spans="1:2" x14ac:dyDescent="0.25">
      <c r="A433" t="s">
        <v>203</v>
      </c>
      <c r="B433" t="s">
        <v>78</v>
      </c>
    </row>
    <row r="434" spans="1:2" x14ac:dyDescent="0.25">
      <c r="A434" t="s">
        <v>201</v>
      </c>
      <c r="B434" t="s">
        <v>2071</v>
      </c>
    </row>
    <row r="435" spans="1:2" x14ac:dyDescent="0.25">
      <c r="A435" t="s">
        <v>208</v>
      </c>
      <c r="B435" t="s">
        <v>2072</v>
      </c>
    </row>
    <row r="436" spans="1:2" x14ac:dyDescent="0.25">
      <c r="A436" t="s">
        <v>201</v>
      </c>
      <c r="B436" t="s">
        <v>2064</v>
      </c>
    </row>
    <row r="437" spans="1:2" x14ac:dyDescent="0.25">
      <c r="A437" t="s">
        <v>203</v>
      </c>
      <c r="B437" t="s">
        <v>218</v>
      </c>
    </row>
    <row r="438" spans="1:2" x14ac:dyDescent="0.25">
      <c r="A438" t="s">
        <v>201</v>
      </c>
      <c r="B438" t="s">
        <v>934</v>
      </c>
    </row>
    <row r="439" spans="1:2" x14ac:dyDescent="0.25">
      <c r="A439" t="s">
        <v>203</v>
      </c>
      <c r="B439" t="s">
        <v>2073</v>
      </c>
    </row>
    <row r="440" spans="1:2" x14ac:dyDescent="0.25">
      <c r="A440" t="s">
        <v>203</v>
      </c>
      <c r="B440" t="s">
        <v>1837</v>
      </c>
    </row>
    <row r="441" spans="1:2" x14ac:dyDescent="0.25">
      <c r="A441" t="s">
        <v>203</v>
      </c>
      <c r="B441" t="s">
        <v>2074</v>
      </c>
    </row>
    <row r="442" spans="1:2" x14ac:dyDescent="0.25">
      <c r="A442" t="s">
        <v>203</v>
      </c>
      <c r="B442" t="s">
        <v>2075</v>
      </c>
    </row>
    <row r="443" spans="1:2" x14ac:dyDescent="0.25">
      <c r="A443" t="s">
        <v>203</v>
      </c>
      <c r="B443" t="s">
        <v>2076</v>
      </c>
    </row>
    <row r="444" spans="1:2" x14ac:dyDescent="0.25">
      <c r="A444" t="s">
        <v>201</v>
      </c>
      <c r="B444" t="s">
        <v>2077</v>
      </c>
    </row>
    <row r="445" spans="1:2" x14ac:dyDescent="0.25">
      <c r="A445" t="s">
        <v>201</v>
      </c>
      <c r="B445" t="s">
        <v>1864</v>
      </c>
    </row>
    <row r="446" spans="1:2" x14ac:dyDescent="0.25">
      <c r="A446" t="s">
        <v>208</v>
      </c>
      <c r="B446" t="s">
        <v>2078</v>
      </c>
    </row>
    <row r="447" spans="1:2" x14ac:dyDescent="0.25">
      <c r="A447" t="s">
        <v>201</v>
      </c>
      <c r="B447" t="s">
        <v>2079</v>
      </c>
    </row>
    <row r="448" spans="1:2" x14ac:dyDescent="0.25">
      <c r="A448" t="s">
        <v>203</v>
      </c>
      <c r="B448" t="s">
        <v>2080</v>
      </c>
    </row>
    <row r="449" spans="1:2" x14ac:dyDescent="0.25">
      <c r="A449" t="s">
        <v>203</v>
      </c>
      <c r="B449" t="s">
        <v>2081</v>
      </c>
    </row>
    <row r="450" spans="1:2" x14ac:dyDescent="0.25">
      <c r="A450" t="s">
        <v>203</v>
      </c>
      <c r="B450" t="s">
        <v>2082</v>
      </c>
    </row>
    <row r="451" spans="1:2" x14ac:dyDescent="0.25">
      <c r="A451" t="s">
        <v>203</v>
      </c>
      <c r="B451" t="s">
        <v>46</v>
      </c>
    </row>
    <row r="452" spans="1:2" x14ac:dyDescent="0.25">
      <c r="A452" t="s">
        <v>203</v>
      </c>
      <c r="B452" t="s">
        <v>2083</v>
      </c>
    </row>
    <row r="453" spans="1:2" x14ac:dyDescent="0.25">
      <c r="A453" t="s">
        <v>203</v>
      </c>
      <c r="B453" t="s">
        <v>2084</v>
      </c>
    </row>
    <row r="454" spans="1:2" x14ac:dyDescent="0.25">
      <c r="A454" t="s">
        <v>226</v>
      </c>
      <c r="B454" t="s">
        <v>2085</v>
      </c>
    </row>
    <row r="455" spans="1:2" x14ac:dyDescent="0.25">
      <c r="A455" t="s">
        <v>203</v>
      </c>
      <c r="B455" t="s">
        <v>2086</v>
      </c>
    </row>
    <row r="456" spans="1:2" x14ac:dyDescent="0.25">
      <c r="A456" t="s">
        <v>203</v>
      </c>
      <c r="B456" t="s">
        <v>2087</v>
      </c>
    </row>
    <row r="457" spans="1:2" x14ac:dyDescent="0.25">
      <c r="A457" t="s">
        <v>203</v>
      </c>
      <c r="B457" t="s">
        <v>2088</v>
      </c>
    </row>
    <row r="458" spans="1:2" x14ac:dyDescent="0.25">
      <c r="A458" t="s">
        <v>226</v>
      </c>
      <c r="B458" t="s">
        <v>2089</v>
      </c>
    </row>
    <row r="459" spans="1:2" x14ac:dyDescent="0.25">
      <c r="A459" t="s">
        <v>203</v>
      </c>
      <c r="B459" t="s">
        <v>2090</v>
      </c>
    </row>
    <row r="460" spans="1:2" x14ac:dyDescent="0.25">
      <c r="A460" t="s">
        <v>201</v>
      </c>
      <c r="B460" t="s">
        <v>263</v>
      </c>
    </row>
    <row r="461" spans="1:2" x14ac:dyDescent="0.25">
      <c r="A461" t="s">
        <v>203</v>
      </c>
      <c r="B461" t="s">
        <v>2091</v>
      </c>
    </row>
    <row r="462" spans="1:2" x14ac:dyDescent="0.25">
      <c r="A462" t="s">
        <v>226</v>
      </c>
      <c r="B462" t="s">
        <v>2092</v>
      </c>
    </row>
    <row r="463" spans="1:2" x14ac:dyDescent="0.25">
      <c r="A463" t="s">
        <v>203</v>
      </c>
      <c r="B463" t="s">
        <v>2093</v>
      </c>
    </row>
    <row r="464" spans="1:2" x14ac:dyDescent="0.25">
      <c r="A464" t="s">
        <v>208</v>
      </c>
      <c r="B464" t="s">
        <v>214</v>
      </c>
    </row>
    <row r="465" spans="1:2" x14ac:dyDescent="0.25">
      <c r="A465" t="s">
        <v>221</v>
      </c>
      <c r="B465" t="s">
        <v>2094</v>
      </c>
    </row>
    <row r="466" spans="1:2" x14ac:dyDescent="0.25">
      <c r="A466" t="s">
        <v>203</v>
      </c>
      <c r="B466" t="s">
        <v>2095</v>
      </c>
    </row>
    <row r="467" spans="1:2" x14ac:dyDescent="0.25">
      <c r="A467" t="s">
        <v>203</v>
      </c>
      <c r="B467" t="s">
        <v>218</v>
      </c>
    </row>
    <row r="468" spans="1:2" x14ac:dyDescent="0.25">
      <c r="A468" t="s">
        <v>201</v>
      </c>
      <c r="B468" t="s">
        <v>206</v>
      </c>
    </row>
    <row r="469" spans="1:2" x14ac:dyDescent="0.25">
      <c r="A469" t="s">
        <v>203</v>
      </c>
      <c r="B469" t="s">
        <v>2096</v>
      </c>
    </row>
    <row r="470" spans="1:2" x14ac:dyDescent="0.25">
      <c r="A470" t="s">
        <v>221</v>
      </c>
      <c r="B470" t="s">
        <v>912</v>
      </c>
    </row>
    <row r="471" spans="1:2" x14ac:dyDescent="0.25">
      <c r="A471" t="s">
        <v>208</v>
      </c>
      <c r="B471" t="s">
        <v>2097</v>
      </c>
    </row>
    <row r="472" spans="1:2" x14ac:dyDescent="0.25">
      <c r="A472" t="s">
        <v>203</v>
      </c>
      <c r="B472" t="s">
        <v>2098</v>
      </c>
    </row>
    <row r="473" spans="1:2" x14ac:dyDescent="0.25">
      <c r="A473" t="s">
        <v>201</v>
      </c>
      <c r="B473" t="s">
        <v>1871</v>
      </c>
    </row>
    <row r="474" spans="1:2" x14ac:dyDescent="0.25">
      <c r="A474" t="s">
        <v>201</v>
      </c>
      <c r="B474" t="s">
        <v>2099</v>
      </c>
    </row>
    <row r="475" spans="1:2" x14ac:dyDescent="0.25">
      <c r="A475" t="s">
        <v>208</v>
      </c>
      <c r="B475" t="s">
        <v>2100</v>
      </c>
    </row>
    <row r="476" spans="1:2" x14ac:dyDescent="0.25">
      <c r="A476" t="s">
        <v>201</v>
      </c>
      <c r="B476" t="s">
        <v>309</v>
      </c>
    </row>
    <row r="477" spans="1:2" x14ac:dyDescent="0.25">
      <c r="A477" t="s">
        <v>201</v>
      </c>
      <c r="B477" t="s">
        <v>212</v>
      </c>
    </row>
    <row r="478" spans="1:2" x14ac:dyDescent="0.25">
      <c r="A478" t="s">
        <v>201</v>
      </c>
      <c r="B478" t="s">
        <v>323</v>
      </c>
    </row>
    <row r="479" spans="1:2" x14ac:dyDescent="0.25">
      <c r="A479" t="s">
        <v>208</v>
      </c>
      <c r="B479" t="s">
        <v>2101</v>
      </c>
    </row>
    <row r="480" spans="1:2" x14ac:dyDescent="0.25">
      <c r="A480" t="s">
        <v>203</v>
      </c>
      <c r="B480" t="s">
        <v>218</v>
      </c>
    </row>
    <row r="481" spans="1:2" x14ac:dyDescent="0.25">
      <c r="A481" t="s">
        <v>201</v>
      </c>
      <c r="B481" t="s">
        <v>2102</v>
      </c>
    </row>
    <row r="482" spans="1:2" x14ac:dyDescent="0.25">
      <c r="A482" t="s">
        <v>203</v>
      </c>
      <c r="B482" t="s">
        <v>2103</v>
      </c>
    </row>
    <row r="483" spans="1:2" x14ac:dyDescent="0.25">
      <c r="A483" t="s">
        <v>221</v>
      </c>
      <c r="B483" t="s">
        <v>375</v>
      </c>
    </row>
    <row r="484" spans="1:2" x14ac:dyDescent="0.25">
      <c r="A484" t="s">
        <v>203</v>
      </c>
      <c r="B484" t="s">
        <v>2104</v>
      </c>
    </row>
    <row r="485" spans="1:2" x14ac:dyDescent="0.25">
      <c r="A485" t="s">
        <v>203</v>
      </c>
      <c r="B485" t="s">
        <v>213</v>
      </c>
    </row>
    <row r="486" spans="1:2" x14ac:dyDescent="0.25">
      <c r="A486" t="s">
        <v>201</v>
      </c>
      <c r="B486" t="s">
        <v>2105</v>
      </c>
    </row>
    <row r="487" spans="1:2" x14ac:dyDescent="0.25">
      <c r="A487" t="s">
        <v>203</v>
      </c>
      <c r="B487" t="s">
        <v>2106</v>
      </c>
    </row>
    <row r="488" spans="1:2" x14ac:dyDescent="0.25">
      <c r="A488" t="s">
        <v>201</v>
      </c>
      <c r="B488" t="s">
        <v>2107</v>
      </c>
    </row>
    <row r="489" spans="1:2" x14ac:dyDescent="0.25">
      <c r="A489" t="s">
        <v>203</v>
      </c>
      <c r="B489" t="s">
        <v>71</v>
      </c>
    </row>
    <row r="490" spans="1:2" x14ac:dyDescent="0.25">
      <c r="A490" t="s">
        <v>208</v>
      </c>
      <c r="B490" t="s">
        <v>357</v>
      </c>
    </row>
    <row r="491" spans="1:2" x14ac:dyDescent="0.25">
      <c r="A491" t="s">
        <v>203</v>
      </c>
      <c r="B491" t="s">
        <v>2108</v>
      </c>
    </row>
    <row r="492" spans="1:2" x14ac:dyDescent="0.25">
      <c r="A492" t="s">
        <v>208</v>
      </c>
      <c r="B492" t="s">
        <v>2109</v>
      </c>
    </row>
    <row r="493" spans="1:2" x14ac:dyDescent="0.25">
      <c r="A493" t="s">
        <v>208</v>
      </c>
      <c r="B493" t="s">
        <v>2110</v>
      </c>
    </row>
    <row r="494" spans="1:2" x14ac:dyDescent="0.25">
      <c r="A494" t="s">
        <v>201</v>
      </c>
      <c r="B494" t="s">
        <v>2111</v>
      </c>
    </row>
    <row r="495" spans="1:2" x14ac:dyDescent="0.25">
      <c r="A495" t="s">
        <v>203</v>
      </c>
      <c r="B495" t="s">
        <v>2112</v>
      </c>
    </row>
    <row r="496" spans="1:2" x14ac:dyDescent="0.25">
      <c r="A496" t="s">
        <v>203</v>
      </c>
      <c r="B496" t="s">
        <v>2113</v>
      </c>
    </row>
    <row r="497" spans="1:2" x14ac:dyDescent="0.25">
      <c r="A497" t="s">
        <v>226</v>
      </c>
      <c r="B497" t="s">
        <v>975</v>
      </c>
    </row>
    <row r="498" spans="1:2" x14ac:dyDescent="0.25">
      <c r="A498" t="s">
        <v>208</v>
      </c>
      <c r="B498" t="s">
        <v>2114</v>
      </c>
    </row>
    <row r="499" spans="1:2" x14ac:dyDescent="0.25">
      <c r="A499" t="s">
        <v>203</v>
      </c>
      <c r="B499" t="s">
        <v>767</v>
      </c>
    </row>
    <row r="500" spans="1:2" x14ac:dyDescent="0.25">
      <c r="A500" t="s">
        <v>203</v>
      </c>
      <c r="B500" t="s">
        <v>2115</v>
      </c>
    </row>
    <row r="501" spans="1:2" x14ac:dyDescent="0.25">
      <c r="A501" t="s">
        <v>201</v>
      </c>
      <c r="B501" t="s">
        <v>2116</v>
      </c>
    </row>
    <row r="502" spans="1:2" x14ac:dyDescent="0.25">
      <c r="A502" t="s">
        <v>203</v>
      </c>
      <c r="B502" t="s">
        <v>2117</v>
      </c>
    </row>
    <row r="503" spans="1:2" x14ac:dyDescent="0.25">
      <c r="A503" t="s">
        <v>203</v>
      </c>
      <c r="B503" t="s">
        <v>260</v>
      </c>
    </row>
    <row r="504" spans="1:2" x14ac:dyDescent="0.25">
      <c r="A504" t="s">
        <v>201</v>
      </c>
      <c r="B504" t="s">
        <v>2118</v>
      </c>
    </row>
    <row r="505" spans="1:2" x14ac:dyDescent="0.25">
      <c r="A505" t="s">
        <v>201</v>
      </c>
      <c r="B505" t="s">
        <v>537</v>
      </c>
    </row>
    <row r="506" spans="1:2" x14ac:dyDescent="0.25">
      <c r="A506" t="s">
        <v>203</v>
      </c>
      <c r="B506" t="s">
        <v>2088</v>
      </c>
    </row>
    <row r="507" spans="1:2" x14ac:dyDescent="0.25">
      <c r="A507" t="s">
        <v>203</v>
      </c>
      <c r="B507" t="s">
        <v>96</v>
      </c>
    </row>
    <row r="508" spans="1:2" x14ac:dyDescent="0.25">
      <c r="A508" t="s">
        <v>201</v>
      </c>
      <c r="B508" t="s">
        <v>2119</v>
      </c>
    </row>
    <row r="509" spans="1:2" x14ac:dyDescent="0.25">
      <c r="A509" t="s">
        <v>203</v>
      </c>
      <c r="B509" t="s">
        <v>218</v>
      </c>
    </row>
    <row r="510" spans="1:2" x14ac:dyDescent="0.25">
      <c r="A510" t="s">
        <v>201</v>
      </c>
      <c r="B510" t="s">
        <v>2120</v>
      </c>
    </row>
    <row r="511" spans="1:2" x14ac:dyDescent="0.25">
      <c r="A511" t="s">
        <v>203</v>
      </c>
      <c r="B511" t="s">
        <v>46</v>
      </c>
    </row>
    <row r="512" spans="1:2" x14ac:dyDescent="0.25">
      <c r="A512" t="s">
        <v>203</v>
      </c>
      <c r="B512" t="s">
        <v>767</v>
      </c>
    </row>
    <row r="513" spans="1:2" x14ac:dyDescent="0.25">
      <c r="A513" t="s">
        <v>203</v>
      </c>
      <c r="B513" t="s">
        <v>359</v>
      </c>
    </row>
    <row r="514" spans="1:2" x14ac:dyDescent="0.25">
      <c r="A514" t="s">
        <v>201</v>
      </c>
      <c r="B514" t="s">
        <v>309</v>
      </c>
    </row>
    <row r="515" spans="1:2" x14ac:dyDescent="0.25">
      <c r="A515" t="s">
        <v>201</v>
      </c>
      <c r="B515" t="s">
        <v>2121</v>
      </c>
    </row>
    <row r="516" spans="1:2" x14ac:dyDescent="0.25">
      <c r="A516" t="s">
        <v>203</v>
      </c>
      <c r="B516" t="s">
        <v>260</v>
      </c>
    </row>
    <row r="517" spans="1:2" x14ac:dyDescent="0.25">
      <c r="A517" t="s">
        <v>201</v>
      </c>
      <c r="B517" t="s">
        <v>2122</v>
      </c>
    </row>
    <row r="518" spans="1:2" x14ac:dyDescent="0.25">
      <c r="A518" t="s">
        <v>208</v>
      </c>
      <c r="B518" t="s">
        <v>2123</v>
      </c>
    </row>
    <row r="519" spans="1:2" x14ac:dyDescent="0.25">
      <c r="A519" t="s">
        <v>201</v>
      </c>
      <c r="B519" t="s">
        <v>2124</v>
      </c>
    </row>
    <row r="520" spans="1:2" x14ac:dyDescent="0.25">
      <c r="A520" t="s">
        <v>201</v>
      </c>
      <c r="B520" t="s">
        <v>1831</v>
      </c>
    </row>
    <row r="521" spans="1:2" x14ac:dyDescent="0.25">
      <c r="A521" t="s">
        <v>226</v>
      </c>
      <c r="B521" t="s">
        <v>46</v>
      </c>
    </row>
    <row r="522" spans="1:2" x14ac:dyDescent="0.25">
      <c r="A522" t="s">
        <v>221</v>
      </c>
      <c r="B522" t="s">
        <v>2125</v>
      </c>
    </row>
    <row r="523" spans="1:2" x14ac:dyDescent="0.25">
      <c r="A523" t="s">
        <v>226</v>
      </c>
      <c r="B523" t="s">
        <v>2126</v>
      </c>
    </row>
    <row r="524" spans="1:2" x14ac:dyDescent="0.25">
      <c r="A524" t="s">
        <v>203</v>
      </c>
      <c r="B524" t="s">
        <v>2127</v>
      </c>
    </row>
    <row r="525" spans="1:2" x14ac:dyDescent="0.25">
      <c r="A525" t="s">
        <v>203</v>
      </c>
      <c r="B525" t="s">
        <v>2128</v>
      </c>
    </row>
    <row r="526" spans="1:2" x14ac:dyDescent="0.25">
      <c r="A526" t="s">
        <v>203</v>
      </c>
      <c r="B526" t="s">
        <v>2129</v>
      </c>
    </row>
    <row r="527" spans="1:2" x14ac:dyDescent="0.25">
      <c r="A527" t="s">
        <v>203</v>
      </c>
      <c r="B527" t="s">
        <v>2130</v>
      </c>
    </row>
    <row r="528" spans="1:2" x14ac:dyDescent="0.25">
      <c r="A528" t="s">
        <v>201</v>
      </c>
      <c r="B528" t="s">
        <v>2131</v>
      </c>
    </row>
    <row r="529" spans="1:2" x14ac:dyDescent="0.25">
      <c r="A529" t="s">
        <v>208</v>
      </c>
      <c r="B529" t="s">
        <v>2132</v>
      </c>
    </row>
    <row r="530" spans="1:2" x14ac:dyDescent="0.25">
      <c r="A530" t="s">
        <v>201</v>
      </c>
      <c r="B530" t="s">
        <v>2133</v>
      </c>
    </row>
    <row r="531" spans="1:2" x14ac:dyDescent="0.25">
      <c r="A531" t="s">
        <v>203</v>
      </c>
      <c r="B531" t="s">
        <v>2134</v>
      </c>
    </row>
    <row r="532" spans="1:2" x14ac:dyDescent="0.25">
      <c r="A532" t="s">
        <v>221</v>
      </c>
      <c r="B532" t="s">
        <v>764</v>
      </c>
    </row>
    <row r="533" spans="1:2" x14ac:dyDescent="0.25">
      <c r="A533" t="s">
        <v>221</v>
      </c>
      <c r="B533" t="s">
        <v>2135</v>
      </c>
    </row>
    <row r="534" spans="1:2" x14ac:dyDescent="0.25">
      <c r="A534" t="s">
        <v>201</v>
      </c>
      <c r="B534" t="s">
        <v>2136</v>
      </c>
    </row>
    <row r="535" spans="1:2" x14ac:dyDescent="0.25">
      <c r="A535" t="s">
        <v>226</v>
      </c>
      <c r="B535" t="s">
        <v>194</v>
      </c>
    </row>
    <row r="536" spans="1:2" x14ac:dyDescent="0.25">
      <c r="A536" t="s">
        <v>201</v>
      </c>
      <c r="B536" t="s">
        <v>2018</v>
      </c>
    </row>
    <row r="537" spans="1:2" x14ac:dyDescent="0.25">
      <c r="A537" t="s">
        <v>203</v>
      </c>
      <c r="B537" t="s">
        <v>263</v>
      </c>
    </row>
    <row r="538" spans="1:2" x14ac:dyDescent="0.25">
      <c r="A538" t="s">
        <v>203</v>
      </c>
      <c r="B538" t="s">
        <v>335</v>
      </c>
    </row>
    <row r="539" spans="1:2" x14ac:dyDescent="0.25">
      <c r="A539" t="s">
        <v>201</v>
      </c>
      <c r="B539" t="s">
        <v>2137</v>
      </c>
    </row>
    <row r="540" spans="1:2" x14ac:dyDescent="0.25">
      <c r="A540" t="s">
        <v>201</v>
      </c>
      <c r="B540" t="s">
        <v>2138</v>
      </c>
    </row>
    <row r="541" spans="1:2" x14ac:dyDescent="0.25">
      <c r="A541" t="s">
        <v>203</v>
      </c>
      <c r="B541" t="s">
        <v>1881</v>
      </c>
    </row>
    <row r="542" spans="1:2" x14ac:dyDescent="0.25">
      <c r="A542" t="s">
        <v>203</v>
      </c>
      <c r="B542" t="s">
        <v>206</v>
      </c>
    </row>
    <row r="543" spans="1:2" x14ac:dyDescent="0.25">
      <c r="A543" t="s">
        <v>201</v>
      </c>
      <c r="B543" t="s">
        <v>309</v>
      </c>
    </row>
    <row r="544" spans="1:2" x14ac:dyDescent="0.25">
      <c r="A544" t="s">
        <v>203</v>
      </c>
      <c r="B544" t="s">
        <v>2139</v>
      </c>
    </row>
    <row r="545" spans="1:2" x14ac:dyDescent="0.25">
      <c r="A545" t="s">
        <v>203</v>
      </c>
      <c r="B545" t="s">
        <v>308</v>
      </c>
    </row>
    <row r="546" spans="1:2" x14ac:dyDescent="0.25">
      <c r="A546" t="s">
        <v>201</v>
      </c>
      <c r="B546" t="s">
        <v>2140</v>
      </c>
    </row>
    <row r="547" spans="1:2" x14ac:dyDescent="0.25">
      <c r="A547" t="s">
        <v>201</v>
      </c>
      <c r="B547" t="s">
        <v>212</v>
      </c>
    </row>
    <row r="548" spans="1:2" x14ac:dyDescent="0.25">
      <c r="A548" t="s">
        <v>208</v>
      </c>
      <c r="B548" t="s">
        <v>2141</v>
      </c>
    </row>
    <row r="549" spans="1:2" x14ac:dyDescent="0.25">
      <c r="A549" t="s">
        <v>203</v>
      </c>
      <c r="B549" t="s">
        <v>323</v>
      </c>
    </row>
    <row r="550" spans="1:2" x14ac:dyDescent="0.25">
      <c r="A550" t="s">
        <v>201</v>
      </c>
      <c r="B550" t="s">
        <v>2142</v>
      </c>
    </row>
    <row r="551" spans="1:2" x14ac:dyDescent="0.25">
      <c r="A551" t="s">
        <v>208</v>
      </c>
      <c r="B551" t="s">
        <v>1848</v>
      </c>
    </row>
    <row r="552" spans="1:2" x14ac:dyDescent="0.25">
      <c r="A552" t="s">
        <v>203</v>
      </c>
      <c r="B552" t="s">
        <v>214</v>
      </c>
    </row>
    <row r="553" spans="1:2" x14ac:dyDescent="0.25">
      <c r="A553" t="s">
        <v>201</v>
      </c>
      <c r="B553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BFEE-98EB-4D02-929E-4F1B548175EE}">
  <dimension ref="A1:Z1000"/>
  <sheetViews>
    <sheetView workbookViewId="0"/>
  </sheetViews>
  <sheetFormatPr defaultColWidth="14.42578125" defaultRowHeight="15" customHeight="1" x14ac:dyDescent="0.25"/>
  <cols>
    <col min="1" max="6" width="9.140625" style="18" customWidth="1"/>
    <col min="7" max="7" width="27.140625" style="18" customWidth="1"/>
    <col min="8" max="26" width="9.140625" style="18" customWidth="1"/>
    <col min="27" max="16384" width="14.42578125" style="18"/>
  </cols>
  <sheetData>
    <row r="1" spans="1:26" ht="28.5" x14ac:dyDescent="0.45">
      <c r="A1" s="15" t="s">
        <v>2210</v>
      </c>
      <c r="B1" s="16"/>
      <c r="C1" s="16"/>
      <c r="D1" s="16"/>
      <c r="E1" s="16"/>
      <c r="F1" s="16"/>
      <c r="G1" s="17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9.75" customHeight="1" x14ac:dyDescent="0.25">
      <c r="A2" s="19" t="s">
        <v>2211</v>
      </c>
      <c r="B2" s="20"/>
      <c r="C2" s="20"/>
      <c r="D2" s="20"/>
      <c r="E2" s="20"/>
      <c r="F2" s="20"/>
      <c r="G2" s="20"/>
      <c r="H2" s="20"/>
      <c r="I2" s="20"/>
      <c r="J2" s="20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16"/>
      <c r="B3" s="16"/>
      <c r="C3" s="16"/>
      <c r="D3" s="16"/>
      <c r="E3" s="16"/>
      <c r="F3" s="16"/>
      <c r="G3" s="17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5">
      <c r="A5" s="16"/>
      <c r="B5" s="16"/>
      <c r="C5" s="16"/>
      <c r="D5" s="16"/>
      <c r="E5" s="16"/>
      <c r="F5" s="16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25">
      <c r="A6" s="16"/>
      <c r="B6" s="16"/>
      <c r="C6" s="1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x14ac:dyDescent="0.25">
      <c r="A7" s="16"/>
      <c r="B7" s="16"/>
      <c r="C7" s="16"/>
      <c r="D7" s="16"/>
      <c r="E7" s="16"/>
      <c r="F7" s="16"/>
      <c r="G7" s="17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x14ac:dyDescent="0.25">
      <c r="A8" s="16"/>
      <c r="B8" s="16"/>
      <c r="C8" s="16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42" customHeight="1" x14ac:dyDescent="0.25">
      <c r="A9" s="21"/>
      <c r="B9" s="21"/>
      <c r="C9" s="21"/>
      <c r="D9" s="21"/>
      <c r="E9" s="21"/>
      <c r="F9" s="21"/>
      <c r="G9" s="22"/>
      <c r="H9" s="23" t="s">
        <v>2212</v>
      </c>
      <c r="I9" s="20"/>
      <c r="J9" s="20"/>
      <c r="K9" s="24"/>
      <c r="L9" s="23" t="s">
        <v>2213</v>
      </c>
      <c r="M9" s="20"/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x14ac:dyDescent="0.25">
      <c r="A10" s="16"/>
      <c r="B10" s="16"/>
      <c r="C10" s="16"/>
      <c r="D10" s="16"/>
      <c r="E10" s="16"/>
      <c r="F10" s="16"/>
      <c r="G10" s="25"/>
      <c r="N10" s="2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x14ac:dyDescent="0.25">
      <c r="A11" s="27"/>
      <c r="B11" s="27"/>
      <c r="C11" s="27"/>
      <c r="D11" s="27"/>
      <c r="E11" s="27"/>
      <c r="F11" s="27"/>
      <c r="G11" s="28" t="s">
        <v>2214</v>
      </c>
      <c r="H11" s="28"/>
      <c r="I11" s="28"/>
      <c r="J11" s="29" t="s">
        <v>10</v>
      </c>
      <c r="K11" s="28"/>
      <c r="L11" s="28"/>
      <c r="M11" s="28"/>
      <c r="N11" s="29" t="s">
        <v>10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x14ac:dyDescent="0.25">
      <c r="A12" s="16"/>
      <c r="B12" s="16"/>
      <c r="C12" s="16"/>
      <c r="D12" s="16"/>
      <c r="E12" s="16"/>
      <c r="F12" s="16"/>
      <c r="G12" s="25" t="s">
        <v>2215</v>
      </c>
      <c r="H12" s="30">
        <v>878</v>
      </c>
      <c r="I12" s="31">
        <v>0.54874999999999996</v>
      </c>
      <c r="J12" s="31">
        <v>0.54874999999999996</v>
      </c>
      <c r="L12" s="30">
        <v>82</v>
      </c>
      <c r="M12" s="31">
        <v>0.2019704433497537</v>
      </c>
      <c r="N12" s="32">
        <v>0.2019704433497537</v>
      </c>
      <c r="O12" s="33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x14ac:dyDescent="0.25">
      <c r="A13" s="16"/>
      <c r="B13" s="16"/>
      <c r="C13" s="16"/>
      <c r="D13" s="16"/>
      <c r="E13" s="16"/>
      <c r="F13" s="16"/>
      <c r="G13" s="25" t="s">
        <v>2216</v>
      </c>
      <c r="H13" s="30">
        <v>697</v>
      </c>
      <c r="I13" s="31">
        <v>0.43562499999999998</v>
      </c>
      <c r="J13" s="31">
        <v>0.43562499999999998</v>
      </c>
      <c r="L13" s="30">
        <v>317</v>
      </c>
      <c r="M13" s="31">
        <v>0.78078817733990147</v>
      </c>
      <c r="N13" s="34">
        <v>0.78078817733990147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x14ac:dyDescent="0.25">
      <c r="A14" s="16"/>
      <c r="B14" s="16"/>
      <c r="C14" s="16"/>
      <c r="D14" s="16"/>
      <c r="E14" s="16"/>
      <c r="F14" s="16"/>
      <c r="G14" s="25" t="s">
        <v>2217</v>
      </c>
      <c r="H14" s="30">
        <v>4</v>
      </c>
      <c r="I14" s="31">
        <v>2.5000000000000001E-3</v>
      </c>
      <c r="J14" s="31">
        <v>2.5000000000000001E-3</v>
      </c>
      <c r="L14" s="30">
        <v>1</v>
      </c>
      <c r="M14" s="31">
        <v>2.4630541871921183E-3</v>
      </c>
      <c r="N14" s="31">
        <v>2.4630541871921183E-3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25">
      <c r="A15" s="16"/>
      <c r="B15" s="16"/>
      <c r="C15" s="16"/>
      <c r="D15" s="16"/>
      <c r="E15" s="16"/>
      <c r="F15" s="16"/>
      <c r="G15" s="25" t="s">
        <v>2218</v>
      </c>
      <c r="H15" s="30">
        <v>7</v>
      </c>
      <c r="I15" s="31">
        <v>4.3750000000000004E-3</v>
      </c>
      <c r="J15" s="31">
        <v>4.3750000000000004E-3</v>
      </c>
      <c r="L15" s="30">
        <v>3</v>
      </c>
      <c r="M15" s="31">
        <v>7.3891625615763543E-3</v>
      </c>
      <c r="N15" s="31">
        <v>7.3891625615763543E-3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25">
      <c r="A16" s="16"/>
      <c r="B16" s="16"/>
      <c r="C16" s="16"/>
      <c r="D16" s="16"/>
      <c r="E16" s="16"/>
      <c r="F16" s="16"/>
      <c r="G16" s="25" t="s">
        <v>2219</v>
      </c>
      <c r="H16" s="30">
        <v>14</v>
      </c>
      <c r="I16" s="31">
        <v>8.7500000000000008E-3</v>
      </c>
      <c r="J16" s="31">
        <v>8.7500000000000008E-3</v>
      </c>
      <c r="L16" s="30">
        <v>3</v>
      </c>
      <c r="M16" s="31">
        <v>7.3891625615763543E-3</v>
      </c>
      <c r="N16" s="31">
        <v>7.3891625615763543E-3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x14ac:dyDescent="0.25">
      <c r="A17" s="16"/>
      <c r="B17" s="16"/>
      <c r="C17" s="16"/>
      <c r="D17" s="16"/>
      <c r="E17" s="16"/>
      <c r="F17" s="16"/>
      <c r="G17" s="25" t="s">
        <v>12</v>
      </c>
      <c r="H17" s="30">
        <v>0</v>
      </c>
      <c r="I17" s="31">
        <v>0</v>
      </c>
      <c r="J17" s="31">
        <v>0</v>
      </c>
      <c r="L17" s="30">
        <v>0</v>
      </c>
      <c r="M17" s="31">
        <v>0</v>
      </c>
      <c r="N17" s="31">
        <v>0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25">
      <c r="A18" s="27"/>
      <c r="B18" s="27"/>
      <c r="C18" s="27"/>
      <c r="D18" s="27"/>
      <c r="E18" s="27"/>
      <c r="F18" s="27"/>
      <c r="G18" s="35" t="s">
        <v>13</v>
      </c>
      <c r="H18" s="36">
        <v>1600</v>
      </c>
      <c r="I18" s="36"/>
      <c r="J18" s="36"/>
      <c r="K18" s="36"/>
      <c r="L18" s="36">
        <v>406</v>
      </c>
      <c r="M18" s="36"/>
      <c r="N18" s="36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x14ac:dyDescent="0.25">
      <c r="A19" s="16"/>
      <c r="B19" s="16"/>
      <c r="C19" s="16"/>
      <c r="D19" s="16"/>
      <c r="E19" s="16"/>
      <c r="F19" s="16"/>
      <c r="G19" s="25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x14ac:dyDescent="0.25">
      <c r="A20" s="16"/>
      <c r="B20" s="16"/>
      <c r="C20" s="16"/>
      <c r="D20" s="16"/>
      <c r="E20" s="16"/>
      <c r="F20" s="16"/>
      <c r="G20" s="25"/>
      <c r="N20" s="2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25">
      <c r="A21" s="27"/>
      <c r="B21" s="27"/>
      <c r="C21" s="27"/>
      <c r="D21" s="27"/>
      <c r="E21" s="27"/>
      <c r="F21" s="27"/>
      <c r="G21" s="28" t="s">
        <v>2220</v>
      </c>
      <c r="H21" s="28"/>
      <c r="I21" s="28"/>
      <c r="J21" s="29" t="s">
        <v>10</v>
      </c>
      <c r="K21" s="28"/>
      <c r="L21" s="28"/>
      <c r="M21" s="28"/>
      <c r="N21" s="29" t="s">
        <v>10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 x14ac:dyDescent="0.25">
      <c r="A22" s="16"/>
      <c r="B22" s="16"/>
      <c r="C22" s="16"/>
      <c r="D22" s="16"/>
      <c r="E22" s="16"/>
      <c r="F22" s="16"/>
      <c r="G22" s="25" t="s">
        <v>2221</v>
      </c>
      <c r="H22" s="30">
        <v>441</v>
      </c>
      <c r="I22" s="31">
        <v>0.50227790432801822</v>
      </c>
      <c r="J22" s="31">
        <v>0.27562500000000001</v>
      </c>
      <c r="L22" s="30">
        <v>51</v>
      </c>
      <c r="M22" s="31">
        <v>0.62195121951219512</v>
      </c>
      <c r="N22" s="31">
        <v>0.12561576354679804</v>
      </c>
      <c r="O22" s="33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16"/>
      <c r="B23" s="16"/>
      <c r="C23" s="16"/>
      <c r="D23" s="16"/>
      <c r="E23" s="16"/>
      <c r="F23" s="16"/>
      <c r="G23" s="25" t="s">
        <v>2222</v>
      </c>
      <c r="H23" s="30">
        <v>437</v>
      </c>
      <c r="I23" s="31">
        <v>0.49772209567198178</v>
      </c>
      <c r="J23" s="31">
        <v>0.27312500000000001</v>
      </c>
      <c r="L23" s="30">
        <v>31</v>
      </c>
      <c r="M23" s="31">
        <v>0.37804878048780488</v>
      </c>
      <c r="N23" s="31">
        <v>7.6354679802955669E-2</v>
      </c>
      <c r="O23" s="33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 x14ac:dyDescent="0.25">
      <c r="A24" s="16"/>
      <c r="B24" s="16"/>
      <c r="C24" s="16"/>
      <c r="D24" s="16"/>
      <c r="E24" s="16"/>
      <c r="F24" s="16"/>
      <c r="G24" s="25" t="s">
        <v>12</v>
      </c>
      <c r="H24" s="30">
        <v>0</v>
      </c>
      <c r="I24" s="31">
        <v>0</v>
      </c>
      <c r="J24" s="31">
        <v>0</v>
      </c>
      <c r="L24" s="30">
        <v>0</v>
      </c>
      <c r="M24" s="31">
        <v>0</v>
      </c>
      <c r="N24" s="31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25">
      <c r="A25" s="27"/>
      <c r="B25" s="27"/>
      <c r="C25" s="27"/>
      <c r="D25" s="27"/>
      <c r="E25" s="27"/>
      <c r="F25" s="27"/>
      <c r="G25" s="35" t="s">
        <v>13</v>
      </c>
      <c r="H25" s="36">
        <v>878</v>
      </c>
      <c r="I25" s="36"/>
      <c r="J25" s="36"/>
      <c r="K25" s="36"/>
      <c r="L25" s="36">
        <v>82</v>
      </c>
      <c r="M25" s="36"/>
      <c r="N25" s="36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 x14ac:dyDescent="0.25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25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25">
      <c r="A28" s="16"/>
      <c r="B28" s="16"/>
      <c r="C28" s="16"/>
      <c r="D28" s="16"/>
      <c r="E28" s="16"/>
      <c r="F28" s="16"/>
      <c r="G28" s="17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25">
      <c r="A29" s="16"/>
      <c r="B29" s="16"/>
      <c r="C29" s="16"/>
      <c r="D29" s="16"/>
      <c r="E29" s="16"/>
      <c r="F29" s="16"/>
      <c r="G29" s="17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25">
      <c r="A30" s="16"/>
      <c r="B30" s="16"/>
      <c r="C30" s="16"/>
      <c r="D30" s="16"/>
      <c r="E30" s="16"/>
      <c r="F30" s="16"/>
      <c r="G30" s="17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25">
      <c r="A31" s="16"/>
      <c r="B31" s="16"/>
      <c r="C31" s="16"/>
      <c r="D31" s="16"/>
      <c r="E31" s="16"/>
      <c r="F31" s="16"/>
      <c r="G31" s="17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25">
      <c r="A32" s="16"/>
      <c r="B32" s="16"/>
      <c r="C32" s="16"/>
      <c r="D32" s="16"/>
      <c r="E32" s="16"/>
      <c r="F32" s="16"/>
      <c r="G32" s="17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25">
      <c r="A33" s="16"/>
      <c r="B33" s="16"/>
      <c r="C33" s="16"/>
      <c r="D33" s="16"/>
      <c r="E33" s="16"/>
      <c r="F33" s="16"/>
      <c r="G33" s="17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25">
      <c r="A34" s="16"/>
      <c r="B34" s="16"/>
      <c r="C34" s="16"/>
      <c r="D34" s="16"/>
      <c r="E34" s="16"/>
      <c r="F34" s="16"/>
      <c r="G34" s="17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25">
      <c r="A35" s="16"/>
      <c r="B35" s="16"/>
      <c r="C35" s="16"/>
      <c r="D35" s="16"/>
      <c r="E35" s="16"/>
      <c r="F35" s="16"/>
      <c r="G35" s="1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25">
      <c r="A36" s="16"/>
      <c r="B36" s="16"/>
      <c r="C36" s="16"/>
      <c r="D36" s="16"/>
      <c r="E36" s="16"/>
      <c r="F36" s="16"/>
      <c r="G36" s="17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25">
      <c r="A37" s="16"/>
      <c r="B37" s="16"/>
      <c r="C37" s="16"/>
      <c r="D37" s="16"/>
      <c r="E37" s="16"/>
      <c r="F37" s="16"/>
      <c r="G37" s="17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25">
      <c r="A38" s="16"/>
      <c r="B38" s="16"/>
      <c r="C38" s="16"/>
      <c r="D38" s="16"/>
      <c r="E38" s="16"/>
      <c r="F38" s="16"/>
      <c r="G38" s="17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25">
      <c r="A39" s="16"/>
      <c r="B39" s="16"/>
      <c r="C39" s="16"/>
      <c r="D39" s="16"/>
      <c r="E39" s="16"/>
      <c r="F39" s="16"/>
      <c r="G39" s="17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25">
      <c r="A40" s="16"/>
      <c r="B40" s="16"/>
      <c r="C40" s="16"/>
      <c r="D40" s="16"/>
      <c r="E40" s="16"/>
      <c r="F40" s="16"/>
      <c r="G40" s="17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25">
      <c r="A41" s="16"/>
      <c r="B41" s="16"/>
      <c r="C41" s="16"/>
      <c r="D41" s="16"/>
      <c r="E41" s="16"/>
      <c r="F41" s="16"/>
      <c r="G41" s="17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25">
      <c r="A42" s="16"/>
      <c r="B42" s="16"/>
      <c r="C42" s="16"/>
      <c r="D42" s="16"/>
      <c r="E42" s="16"/>
      <c r="F42" s="16"/>
      <c r="G42" s="17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25">
      <c r="A43" s="16"/>
      <c r="B43" s="16"/>
      <c r="C43" s="16"/>
      <c r="D43" s="16"/>
      <c r="E43" s="16"/>
      <c r="F43" s="16"/>
      <c r="G43" s="17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25">
      <c r="A44" s="16"/>
      <c r="B44" s="16"/>
      <c r="C44" s="16"/>
      <c r="D44" s="16"/>
      <c r="E44" s="16"/>
      <c r="F44" s="16"/>
      <c r="G44" s="17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25">
      <c r="A45" s="16"/>
      <c r="B45" s="16"/>
      <c r="C45" s="16"/>
      <c r="D45" s="16"/>
      <c r="E45" s="16"/>
      <c r="F45" s="16"/>
      <c r="G45" s="17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25">
      <c r="A46" s="16"/>
      <c r="B46" s="16"/>
      <c r="C46" s="16"/>
      <c r="D46" s="16"/>
      <c r="E46" s="16"/>
      <c r="F46" s="16"/>
      <c r="G46" s="17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25">
      <c r="A47" s="16"/>
      <c r="B47" s="16"/>
      <c r="C47" s="16"/>
      <c r="D47" s="16"/>
      <c r="E47" s="16"/>
      <c r="F47" s="16"/>
      <c r="G47" s="17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25">
      <c r="A48" s="16"/>
      <c r="B48" s="16"/>
      <c r="C48" s="16"/>
      <c r="D48" s="16"/>
      <c r="E48" s="16"/>
      <c r="F48" s="16"/>
      <c r="G48" s="17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25">
      <c r="A49" s="16"/>
      <c r="B49" s="16"/>
      <c r="C49" s="16"/>
      <c r="D49" s="16"/>
      <c r="E49" s="16"/>
      <c r="F49" s="16"/>
      <c r="G49" s="17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25">
      <c r="A50" s="16"/>
      <c r="B50" s="16"/>
      <c r="C50" s="16"/>
      <c r="D50" s="16"/>
      <c r="E50" s="16"/>
      <c r="F50" s="16"/>
      <c r="G50" s="17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25">
      <c r="A51" s="16"/>
      <c r="B51" s="16"/>
      <c r="C51" s="16"/>
      <c r="D51" s="16"/>
      <c r="E51" s="16"/>
      <c r="F51" s="16"/>
      <c r="G51" s="17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25">
      <c r="A52" s="16"/>
      <c r="B52" s="16"/>
      <c r="C52" s="16"/>
      <c r="D52" s="16"/>
      <c r="E52" s="16"/>
      <c r="F52" s="16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25">
      <c r="A53" s="16"/>
      <c r="B53" s="16"/>
      <c r="C53" s="16"/>
      <c r="D53" s="16"/>
      <c r="E53" s="16"/>
      <c r="F53" s="16"/>
      <c r="G53" s="17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25">
      <c r="A54" s="16"/>
      <c r="B54" s="16"/>
      <c r="C54" s="16"/>
      <c r="D54" s="16"/>
      <c r="E54" s="16"/>
      <c r="F54" s="16"/>
      <c r="G54" s="17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25">
      <c r="A55" s="16"/>
      <c r="B55" s="16"/>
      <c r="C55" s="16"/>
      <c r="D55" s="16"/>
      <c r="E55" s="16"/>
      <c r="F55" s="16"/>
      <c r="G55" s="17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25">
      <c r="A56" s="16"/>
      <c r="B56" s="16"/>
      <c r="C56" s="16"/>
      <c r="D56" s="16"/>
      <c r="E56" s="16"/>
      <c r="F56" s="16"/>
      <c r="G56" s="17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25">
      <c r="A57" s="16"/>
      <c r="B57" s="16"/>
      <c r="C57" s="16"/>
      <c r="D57" s="16"/>
      <c r="E57" s="16"/>
      <c r="F57" s="16"/>
      <c r="G57" s="17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25">
      <c r="A58" s="16"/>
      <c r="B58" s="16"/>
      <c r="C58" s="16"/>
      <c r="D58" s="16"/>
      <c r="E58" s="16"/>
      <c r="F58" s="16"/>
      <c r="G58" s="17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25">
      <c r="A59" s="16"/>
      <c r="B59" s="16"/>
      <c r="C59" s="16"/>
      <c r="D59" s="16"/>
      <c r="E59" s="16"/>
      <c r="F59" s="16"/>
      <c r="G59" s="17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25">
      <c r="A60" s="16"/>
      <c r="B60" s="16"/>
      <c r="C60" s="16"/>
      <c r="D60" s="16"/>
      <c r="E60" s="16"/>
      <c r="F60" s="16"/>
      <c r="G60" s="17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25">
      <c r="A61" s="16"/>
      <c r="B61" s="16"/>
      <c r="C61" s="16"/>
      <c r="D61" s="16"/>
      <c r="E61" s="16"/>
      <c r="F61" s="16"/>
      <c r="G61" s="17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25">
      <c r="A62" s="16"/>
      <c r="B62" s="16"/>
      <c r="C62" s="16"/>
      <c r="D62" s="16"/>
      <c r="E62" s="16"/>
      <c r="F62" s="16"/>
      <c r="G62" s="17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25">
      <c r="A63" s="16"/>
      <c r="B63" s="16"/>
      <c r="C63" s="16"/>
      <c r="D63" s="16"/>
      <c r="E63" s="16"/>
      <c r="F63" s="16"/>
      <c r="G63" s="17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25">
      <c r="A64" s="16"/>
      <c r="B64" s="16"/>
      <c r="C64" s="16"/>
      <c r="D64" s="16"/>
      <c r="E64" s="16"/>
      <c r="F64" s="16"/>
      <c r="G64" s="17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25">
      <c r="A65" s="16"/>
      <c r="B65" s="16"/>
      <c r="C65" s="16"/>
      <c r="D65" s="16"/>
      <c r="E65" s="16"/>
      <c r="F65" s="16"/>
      <c r="G65" s="17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25">
      <c r="A66" s="16"/>
      <c r="B66" s="16"/>
      <c r="C66" s="16"/>
      <c r="D66" s="16"/>
      <c r="E66" s="16"/>
      <c r="F66" s="16"/>
      <c r="G66" s="17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25">
      <c r="A67" s="16"/>
      <c r="B67" s="16"/>
      <c r="C67" s="16"/>
      <c r="D67" s="16"/>
      <c r="E67" s="16"/>
      <c r="F67" s="16"/>
      <c r="G67" s="17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25">
      <c r="A68" s="16"/>
      <c r="B68" s="16"/>
      <c r="C68" s="16"/>
      <c r="D68" s="16"/>
      <c r="E68" s="16"/>
      <c r="F68" s="16"/>
      <c r="G68" s="17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25">
      <c r="A69" s="16"/>
      <c r="B69" s="16"/>
      <c r="C69" s="16"/>
      <c r="D69" s="16"/>
      <c r="E69" s="16"/>
      <c r="F69" s="16"/>
      <c r="G69" s="17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25">
      <c r="A70" s="16"/>
      <c r="B70" s="16"/>
      <c r="C70" s="16"/>
      <c r="D70" s="16"/>
      <c r="E70" s="16"/>
      <c r="F70" s="16"/>
      <c r="G70" s="17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25">
      <c r="A71" s="16"/>
      <c r="B71" s="16"/>
      <c r="C71" s="16"/>
      <c r="D71" s="16"/>
      <c r="E71" s="16"/>
      <c r="F71" s="16"/>
      <c r="G71" s="17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25">
      <c r="A72" s="16"/>
      <c r="B72" s="16"/>
      <c r="C72" s="16"/>
      <c r="D72" s="16"/>
      <c r="E72" s="16"/>
      <c r="F72" s="16"/>
      <c r="G72" s="17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25">
      <c r="A73" s="16"/>
      <c r="B73" s="16"/>
      <c r="C73" s="16"/>
      <c r="D73" s="16"/>
      <c r="E73" s="16"/>
      <c r="F73" s="16"/>
      <c r="G73" s="17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25">
      <c r="A74" s="16"/>
      <c r="B74" s="16"/>
      <c r="C74" s="16"/>
      <c r="D74" s="16"/>
      <c r="E74" s="16"/>
      <c r="F74" s="16"/>
      <c r="G74" s="17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25">
      <c r="A75" s="16"/>
      <c r="B75" s="16"/>
      <c r="C75" s="16"/>
      <c r="D75" s="16"/>
      <c r="E75" s="16"/>
      <c r="F75" s="16"/>
      <c r="G75" s="17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25">
      <c r="A76" s="16"/>
      <c r="B76" s="16"/>
      <c r="C76" s="16"/>
      <c r="D76" s="16"/>
      <c r="E76" s="16"/>
      <c r="F76" s="16"/>
      <c r="G76" s="17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25">
      <c r="A77" s="16"/>
      <c r="B77" s="16"/>
      <c r="C77" s="16"/>
      <c r="D77" s="16"/>
      <c r="E77" s="16"/>
      <c r="F77" s="16"/>
      <c r="G77" s="17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25">
      <c r="A78" s="16"/>
      <c r="B78" s="16"/>
      <c r="C78" s="16"/>
      <c r="D78" s="16"/>
      <c r="E78" s="16"/>
      <c r="F78" s="16"/>
      <c r="G78" s="17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25">
      <c r="A79" s="16"/>
      <c r="B79" s="16"/>
      <c r="C79" s="16"/>
      <c r="D79" s="16"/>
      <c r="E79" s="16"/>
      <c r="F79" s="16"/>
      <c r="G79" s="17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25">
      <c r="A80" s="16"/>
      <c r="B80" s="16"/>
      <c r="C80" s="16"/>
      <c r="D80" s="16"/>
      <c r="E80" s="16"/>
      <c r="F80" s="16"/>
      <c r="G80" s="17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25">
      <c r="A81" s="16"/>
      <c r="B81" s="16"/>
      <c r="C81" s="16"/>
      <c r="D81" s="16"/>
      <c r="E81" s="16"/>
      <c r="F81" s="16"/>
      <c r="G81" s="17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25">
      <c r="A82" s="16"/>
      <c r="B82" s="16"/>
      <c r="C82" s="16"/>
      <c r="D82" s="16"/>
      <c r="E82" s="16"/>
      <c r="F82" s="16"/>
      <c r="G82" s="17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25">
      <c r="A83" s="16"/>
      <c r="B83" s="16"/>
      <c r="C83" s="16"/>
      <c r="D83" s="16"/>
      <c r="E83" s="16"/>
      <c r="F83" s="16"/>
      <c r="G83" s="17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25">
      <c r="A84" s="16"/>
      <c r="B84" s="16"/>
      <c r="C84" s="16"/>
      <c r="D84" s="16"/>
      <c r="E84" s="16"/>
      <c r="F84" s="16"/>
      <c r="G84" s="17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25">
      <c r="A85" s="16"/>
      <c r="B85" s="16"/>
      <c r="C85" s="16"/>
      <c r="D85" s="16"/>
      <c r="E85" s="16"/>
      <c r="F85" s="16"/>
      <c r="G85" s="17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25">
      <c r="A86" s="16"/>
      <c r="B86" s="16"/>
      <c r="C86" s="16"/>
      <c r="D86" s="16"/>
      <c r="E86" s="16"/>
      <c r="F86" s="16"/>
      <c r="G86" s="17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25">
      <c r="A87" s="16"/>
      <c r="B87" s="16"/>
      <c r="C87" s="16"/>
      <c r="D87" s="16"/>
      <c r="E87" s="16"/>
      <c r="F87" s="16"/>
      <c r="G87" s="17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25">
      <c r="A88" s="16"/>
      <c r="B88" s="16"/>
      <c r="C88" s="16"/>
      <c r="D88" s="16"/>
      <c r="E88" s="16"/>
      <c r="F88" s="16"/>
      <c r="G88" s="17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25">
      <c r="A89" s="16"/>
      <c r="B89" s="16"/>
      <c r="C89" s="16"/>
      <c r="D89" s="16"/>
      <c r="E89" s="16"/>
      <c r="F89" s="16"/>
      <c r="G89" s="17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25">
      <c r="A90" s="16"/>
      <c r="B90" s="16"/>
      <c r="C90" s="16"/>
      <c r="D90" s="16"/>
      <c r="E90" s="16"/>
      <c r="F90" s="16"/>
      <c r="G90" s="17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25">
      <c r="A91" s="16"/>
      <c r="B91" s="16"/>
      <c r="C91" s="16"/>
      <c r="D91" s="16"/>
      <c r="E91" s="16"/>
      <c r="F91" s="16"/>
      <c r="G91" s="17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25">
      <c r="A92" s="16"/>
      <c r="B92" s="16"/>
      <c r="C92" s="16"/>
      <c r="D92" s="16"/>
      <c r="E92" s="16"/>
      <c r="F92" s="16"/>
      <c r="G92" s="17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25">
      <c r="A93" s="16"/>
      <c r="B93" s="16"/>
      <c r="C93" s="16"/>
      <c r="D93" s="16"/>
      <c r="E93" s="16"/>
      <c r="F93" s="16"/>
      <c r="G93" s="17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25">
      <c r="A94" s="16"/>
      <c r="B94" s="16"/>
      <c r="C94" s="16"/>
      <c r="D94" s="16"/>
      <c r="E94" s="16"/>
      <c r="F94" s="16"/>
      <c r="G94" s="17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25">
      <c r="A95" s="16"/>
      <c r="B95" s="16"/>
      <c r="C95" s="16"/>
      <c r="D95" s="16"/>
      <c r="E95" s="16"/>
      <c r="F95" s="16"/>
      <c r="G95" s="17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25">
      <c r="A96" s="16"/>
      <c r="B96" s="16"/>
      <c r="C96" s="16"/>
      <c r="D96" s="16"/>
      <c r="E96" s="16"/>
      <c r="F96" s="16"/>
      <c r="G96" s="17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25">
      <c r="A97" s="16"/>
      <c r="B97" s="16"/>
      <c r="C97" s="16"/>
      <c r="D97" s="16"/>
      <c r="E97" s="16"/>
      <c r="F97" s="16"/>
      <c r="G97" s="17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25">
      <c r="A98" s="16"/>
      <c r="B98" s="16"/>
      <c r="C98" s="16"/>
      <c r="D98" s="16"/>
      <c r="E98" s="16"/>
      <c r="F98" s="16"/>
      <c r="G98" s="17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25">
      <c r="A99" s="16"/>
      <c r="B99" s="16"/>
      <c r="C99" s="16"/>
      <c r="D99" s="16"/>
      <c r="E99" s="16"/>
      <c r="F99" s="16"/>
      <c r="G99" s="17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25">
      <c r="A100" s="16"/>
      <c r="B100" s="16"/>
      <c r="C100" s="16"/>
      <c r="D100" s="16"/>
      <c r="E100" s="16"/>
      <c r="F100" s="16"/>
      <c r="G100" s="17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25">
      <c r="A101" s="16"/>
      <c r="B101" s="16"/>
      <c r="C101" s="16"/>
      <c r="D101" s="16"/>
      <c r="E101" s="16"/>
      <c r="F101" s="16"/>
      <c r="G101" s="17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25">
      <c r="A102" s="16"/>
      <c r="B102" s="16"/>
      <c r="C102" s="16"/>
      <c r="D102" s="16"/>
      <c r="E102" s="16"/>
      <c r="F102" s="16"/>
      <c r="G102" s="17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25">
      <c r="A103" s="16"/>
      <c r="B103" s="16"/>
      <c r="C103" s="16"/>
      <c r="D103" s="16"/>
      <c r="E103" s="16"/>
      <c r="F103" s="16"/>
      <c r="G103" s="17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25">
      <c r="A104" s="16"/>
      <c r="B104" s="16"/>
      <c r="C104" s="16"/>
      <c r="D104" s="16"/>
      <c r="E104" s="16"/>
      <c r="F104" s="16"/>
      <c r="G104" s="17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25">
      <c r="A105" s="16"/>
      <c r="B105" s="16"/>
      <c r="C105" s="16"/>
      <c r="D105" s="16"/>
      <c r="E105" s="16"/>
      <c r="F105" s="16"/>
      <c r="G105" s="17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25">
      <c r="A106" s="16"/>
      <c r="B106" s="16"/>
      <c r="C106" s="16"/>
      <c r="D106" s="16"/>
      <c r="E106" s="16"/>
      <c r="F106" s="16"/>
      <c r="G106" s="17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25">
      <c r="A107" s="16"/>
      <c r="B107" s="16"/>
      <c r="C107" s="16"/>
      <c r="D107" s="16"/>
      <c r="E107" s="16"/>
      <c r="F107" s="16"/>
      <c r="G107" s="17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25">
      <c r="A108" s="16"/>
      <c r="B108" s="16"/>
      <c r="C108" s="16"/>
      <c r="D108" s="16"/>
      <c r="E108" s="16"/>
      <c r="F108" s="16"/>
      <c r="G108" s="17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25">
      <c r="A109" s="16"/>
      <c r="B109" s="16"/>
      <c r="C109" s="16"/>
      <c r="D109" s="16"/>
      <c r="E109" s="16"/>
      <c r="F109" s="16"/>
      <c r="G109" s="17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25">
      <c r="A110" s="16"/>
      <c r="B110" s="16"/>
      <c r="C110" s="16"/>
      <c r="D110" s="16"/>
      <c r="E110" s="16"/>
      <c r="F110" s="16"/>
      <c r="G110" s="17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25">
      <c r="A111" s="16"/>
      <c r="B111" s="16"/>
      <c r="C111" s="16"/>
      <c r="D111" s="16"/>
      <c r="E111" s="16"/>
      <c r="F111" s="16"/>
      <c r="G111" s="17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25">
      <c r="A112" s="16"/>
      <c r="B112" s="16"/>
      <c r="C112" s="16"/>
      <c r="D112" s="16"/>
      <c r="E112" s="16"/>
      <c r="F112" s="16"/>
      <c r="G112" s="17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25">
      <c r="A113" s="16"/>
      <c r="B113" s="16"/>
      <c r="C113" s="16"/>
      <c r="D113" s="16"/>
      <c r="E113" s="16"/>
      <c r="F113" s="16"/>
      <c r="G113" s="17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25">
      <c r="A114" s="16"/>
      <c r="B114" s="16"/>
      <c r="C114" s="16"/>
      <c r="D114" s="16"/>
      <c r="E114" s="16"/>
      <c r="F114" s="16"/>
      <c r="G114" s="17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25">
      <c r="A115" s="16"/>
      <c r="B115" s="16"/>
      <c r="C115" s="16"/>
      <c r="D115" s="16"/>
      <c r="E115" s="16"/>
      <c r="F115" s="16"/>
      <c r="G115" s="17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25">
      <c r="A116" s="16"/>
      <c r="B116" s="16"/>
      <c r="C116" s="16"/>
      <c r="D116" s="16"/>
      <c r="E116" s="16"/>
      <c r="F116" s="16"/>
      <c r="G116" s="17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25">
      <c r="A117" s="16"/>
      <c r="B117" s="16"/>
      <c r="C117" s="16"/>
      <c r="D117" s="16"/>
      <c r="E117" s="16"/>
      <c r="F117" s="16"/>
      <c r="G117" s="17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25">
      <c r="A118" s="16"/>
      <c r="B118" s="16"/>
      <c r="C118" s="16"/>
      <c r="D118" s="16"/>
      <c r="E118" s="16"/>
      <c r="F118" s="16"/>
      <c r="G118" s="17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25">
      <c r="A119" s="16"/>
      <c r="B119" s="16"/>
      <c r="C119" s="16"/>
      <c r="D119" s="16"/>
      <c r="E119" s="16"/>
      <c r="F119" s="16"/>
      <c r="G119" s="17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25">
      <c r="A120" s="16"/>
      <c r="B120" s="16"/>
      <c r="C120" s="16"/>
      <c r="D120" s="16"/>
      <c r="E120" s="16"/>
      <c r="F120" s="16"/>
      <c r="G120" s="17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25">
      <c r="A121" s="16"/>
      <c r="B121" s="16"/>
      <c r="C121" s="16"/>
      <c r="D121" s="16"/>
      <c r="E121" s="16"/>
      <c r="F121" s="16"/>
      <c r="G121" s="17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25">
      <c r="A122" s="16"/>
      <c r="B122" s="16"/>
      <c r="C122" s="16"/>
      <c r="D122" s="16"/>
      <c r="E122" s="16"/>
      <c r="F122" s="16"/>
      <c r="G122" s="17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25">
      <c r="A123" s="16"/>
      <c r="B123" s="16"/>
      <c r="C123" s="16"/>
      <c r="D123" s="16"/>
      <c r="E123" s="16"/>
      <c r="F123" s="16"/>
      <c r="G123" s="17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25">
      <c r="A124" s="16"/>
      <c r="B124" s="16"/>
      <c r="C124" s="16"/>
      <c r="D124" s="16"/>
      <c r="E124" s="16"/>
      <c r="F124" s="16"/>
      <c r="G124" s="17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25">
      <c r="A125" s="16"/>
      <c r="B125" s="16"/>
      <c r="C125" s="16"/>
      <c r="D125" s="16"/>
      <c r="E125" s="16"/>
      <c r="F125" s="16"/>
      <c r="G125" s="17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25">
      <c r="A126" s="16"/>
      <c r="B126" s="16"/>
      <c r="C126" s="16"/>
      <c r="D126" s="16"/>
      <c r="E126" s="16"/>
      <c r="F126" s="16"/>
      <c r="G126" s="17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25">
      <c r="A127" s="16"/>
      <c r="B127" s="16"/>
      <c r="C127" s="16"/>
      <c r="D127" s="16"/>
      <c r="E127" s="16"/>
      <c r="F127" s="16"/>
      <c r="G127" s="17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25">
      <c r="A128" s="16"/>
      <c r="B128" s="16"/>
      <c r="C128" s="16"/>
      <c r="D128" s="16"/>
      <c r="E128" s="16"/>
      <c r="F128" s="16"/>
      <c r="G128" s="17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25">
      <c r="A129" s="16"/>
      <c r="B129" s="16"/>
      <c r="C129" s="16"/>
      <c r="D129" s="16"/>
      <c r="E129" s="16"/>
      <c r="F129" s="16"/>
      <c r="G129" s="17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25">
      <c r="A130" s="16"/>
      <c r="B130" s="16"/>
      <c r="C130" s="16"/>
      <c r="D130" s="16"/>
      <c r="E130" s="16"/>
      <c r="F130" s="16"/>
      <c r="G130" s="17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25">
      <c r="A131" s="16"/>
      <c r="B131" s="16"/>
      <c r="C131" s="16"/>
      <c r="D131" s="16"/>
      <c r="E131" s="16"/>
      <c r="F131" s="16"/>
      <c r="G131" s="17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25">
      <c r="A132" s="16"/>
      <c r="B132" s="16"/>
      <c r="C132" s="16"/>
      <c r="D132" s="16"/>
      <c r="E132" s="16"/>
      <c r="F132" s="16"/>
      <c r="G132" s="17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25">
      <c r="A133" s="16"/>
      <c r="B133" s="16"/>
      <c r="C133" s="16"/>
      <c r="D133" s="16"/>
      <c r="E133" s="16"/>
      <c r="F133" s="16"/>
      <c r="G133" s="17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25">
      <c r="A134" s="16"/>
      <c r="B134" s="16"/>
      <c r="C134" s="16"/>
      <c r="D134" s="16"/>
      <c r="E134" s="16"/>
      <c r="F134" s="16"/>
      <c r="G134" s="17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25">
      <c r="A135" s="16"/>
      <c r="B135" s="16"/>
      <c r="C135" s="16"/>
      <c r="D135" s="16"/>
      <c r="E135" s="16"/>
      <c r="F135" s="16"/>
      <c r="G135" s="17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25">
      <c r="A136" s="16"/>
      <c r="B136" s="16"/>
      <c r="C136" s="16"/>
      <c r="D136" s="16"/>
      <c r="E136" s="16"/>
      <c r="F136" s="16"/>
      <c r="G136" s="17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25">
      <c r="A137" s="16"/>
      <c r="B137" s="16"/>
      <c r="C137" s="16"/>
      <c r="D137" s="16"/>
      <c r="E137" s="16"/>
      <c r="F137" s="16"/>
      <c r="G137" s="17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25">
      <c r="A138" s="16"/>
      <c r="B138" s="16"/>
      <c r="C138" s="16"/>
      <c r="D138" s="16"/>
      <c r="E138" s="16"/>
      <c r="F138" s="16"/>
      <c r="G138" s="17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25">
      <c r="A139" s="16"/>
      <c r="B139" s="16"/>
      <c r="C139" s="16"/>
      <c r="D139" s="16"/>
      <c r="E139" s="16"/>
      <c r="F139" s="16"/>
      <c r="G139" s="17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25">
      <c r="A140" s="16"/>
      <c r="B140" s="16"/>
      <c r="C140" s="16"/>
      <c r="D140" s="16"/>
      <c r="E140" s="16"/>
      <c r="F140" s="16"/>
      <c r="G140" s="17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25">
      <c r="A141" s="16"/>
      <c r="B141" s="16"/>
      <c r="C141" s="16"/>
      <c r="D141" s="16"/>
      <c r="E141" s="16"/>
      <c r="F141" s="16"/>
      <c r="G141" s="17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25">
      <c r="A142" s="16"/>
      <c r="B142" s="16"/>
      <c r="C142" s="16"/>
      <c r="D142" s="16"/>
      <c r="E142" s="16"/>
      <c r="F142" s="16"/>
      <c r="G142" s="17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25">
      <c r="A143" s="16"/>
      <c r="B143" s="16"/>
      <c r="C143" s="16"/>
      <c r="D143" s="16"/>
      <c r="E143" s="16"/>
      <c r="F143" s="16"/>
      <c r="G143" s="17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25">
      <c r="A144" s="16"/>
      <c r="B144" s="16"/>
      <c r="C144" s="16"/>
      <c r="D144" s="16"/>
      <c r="E144" s="16"/>
      <c r="F144" s="16"/>
      <c r="G144" s="17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25">
      <c r="A145" s="16"/>
      <c r="B145" s="16"/>
      <c r="C145" s="16"/>
      <c r="D145" s="16"/>
      <c r="E145" s="16"/>
      <c r="F145" s="16"/>
      <c r="G145" s="17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25">
      <c r="A146" s="16"/>
      <c r="B146" s="16"/>
      <c r="C146" s="16"/>
      <c r="D146" s="16"/>
      <c r="E146" s="16"/>
      <c r="F146" s="16"/>
      <c r="G146" s="17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25">
      <c r="A147" s="16"/>
      <c r="B147" s="16"/>
      <c r="C147" s="16"/>
      <c r="D147" s="16"/>
      <c r="E147" s="16"/>
      <c r="F147" s="16"/>
      <c r="G147" s="17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25">
      <c r="A148" s="16"/>
      <c r="B148" s="16"/>
      <c r="C148" s="16"/>
      <c r="D148" s="16"/>
      <c r="E148" s="16"/>
      <c r="F148" s="16"/>
      <c r="G148" s="17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25">
      <c r="A149" s="16"/>
      <c r="B149" s="16"/>
      <c r="C149" s="16"/>
      <c r="D149" s="16"/>
      <c r="E149" s="16"/>
      <c r="F149" s="16"/>
      <c r="G149" s="17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25">
      <c r="A150" s="16"/>
      <c r="B150" s="16"/>
      <c r="C150" s="16"/>
      <c r="D150" s="16"/>
      <c r="E150" s="16"/>
      <c r="F150" s="16"/>
      <c r="G150" s="17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25">
      <c r="A151" s="16"/>
      <c r="B151" s="16"/>
      <c r="C151" s="16"/>
      <c r="D151" s="16"/>
      <c r="E151" s="16"/>
      <c r="F151" s="16"/>
      <c r="G151" s="17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25">
      <c r="A152" s="16"/>
      <c r="B152" s="16"/>
      <c r="C152" s="16"/>
      <c r="D152" s="16"/>
      <c r="E152" s="16"/>
      <c r="F152" s="16"/>
      <c r="G152" s="17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25">
      <c r="A153" s="16"/>
      <c r="B153" s="16"/>
      <c r="C153" s="16"/>
      <c r="D153" s="16"/>
      <c r="E153" s="16"/>
      <c r="F153" s="16"/>
      <c r="G153" s="17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25">
      <c r="A154" s="16"/>
      <c r="B154" s="16"/>
      <c r="C154" s="16"/>
      <c r="D154" s="16"/>
      <c r="E154" s="16"/>
      <c r="F154" s="16"/>
      <c r="G154" s="17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25">
      <c r="A155" s="16"/>
      <c r="B155" s="16"/>
      <c r="C155" s="16"/>
      <c r="D155" s="16"/>
      <c r="E155" s="16"/>
      <c r="F155" s="16"/>
      <c r="G155" s="17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25">
      <c r="A156" s="16"/>
      <c r="B156" s="16"/>
      <c r="C156" s="16"/>
      <c r="D156" s="16"/>
      <c r="E156" s="16"/>
      <c r="F156" s="16"/>
      <c r="G156" s="17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25">
      <c r="A157" s="16"/>
      <c r="B157" s="16"/>
      <c r="C157" s="16"/>
      <c r="D157" s="16"/>
      <c r="E157" s="16"/>
      <c r="F157" s="16"/>
      <c r="G157" s="17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25">
      <c r="A158" s="16"/>
      <c r="B158" s="16"/>
      <c r="C158" s="16"/>
      <c r="D158" s="16"/>
      <c r="E158" s="16"/>
      <c r="F158" s="16"/>
      <c r="G158" s="17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25">
      <c r="A159" s="16"/>
      <c r="B159" s="16"/>
      <c r="C159" s="16"/>
      <c r="D159" s="16"/>
      <c r="E159" s="16"/>
      <c r="F159" s="16"/>
      <c r="G159" s="17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25">
      <c r="A160" s="16"/>
      <c r="B160" s="16"/>
      <c r="C160" s="16"/>
      <c r="D160" s="16"/>
      <c r="E160" s="16"/>
      <c r="F160" s="16"/>
      <c r="G160" s="17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25">
      <c r="A161" s="16"/>
      <c r="B161" s="16"/>
      <c r="C161" s="16"/>
      <c r="D161" s="16"/>
      <c r="E161" s="16"/>
      <c r="F161" s="16"/>
      <c r="G161" s="17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25">
      <c r="A162" s="16"/>
      <c r="B162" s="16"/>
      <c r="C162" s="16"/>
      <c r="D162" s="16"/>
      <c r="E162" s="16"/>
      <c r="F162" s="16"/>
      <c r="G162" s="17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25">
      <c r="A163" s="16"/>
      <c r="B163" s="16"/>
      <c r="C163" s="16"/>
      <c r="D163" s="16"/>
      <c r="E163" s="16"/>
      <c r="F163" s="16"/>
      <c r="G163" s="17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25">
      <c r="A164" s="16"/>
      <c r="B164" s="16"/>
      <c r="C164" s="16"/>
      <c r="D164" s="16"/>
      <c r="E164" s="16"/>
      <c r="F164" s="16"/>
      <c r="G164" s="17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25">
      <c r="A165" s="16"/>
      <c r="B165" s="16"/>
      <c r="C165" s="16"/>
      <c r="D165" s="16"/>
      <c r="E165" s="16"/>
      <c r="F165" s="16"/>
      <c r="G165" s="17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25">
      <c r="A166" s="16"/>
      <c r="B166" s="16"/>
      <c r="C166" s="16"/>
      <c r="D166" s="16"/>
      <c r="E166" s="16"/>
      <c r="F166" s="16"/>
      <c r="G166" s="17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25">
      <c r="A167" s="16"/>
      <c r="B167" s="16"/>
      <c r="C167" s="16"/>
      <c r="D167" s="16"/>
      <c r="E167" s="16"/>
      <c r="F167" s="16"/>
      <c r="G167" s="17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25">
      <c r="A168" s="16"/>
      <c r="B168" s="16"/>
      <c r="C168" s="16"/>
      <c r="D168" s="16"/>
      <c r="E168" s="16"/>
      <c r="F168" s="16"/>
      <c r="G168" s="17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25">
      <c r="A169" s="16"/>
      <c r="B169" s="16"/>
      <c r="C169" s="16"/>
      <c r="D169" s="16"/>
      <c r="E169" s="16"/>
      <c r="F169" s="16"/>
      <c r="G169" s="17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25">
      <c r="A170" s="16"/>
      <c r="B170" s="16"/>
      <c r="C170" s="16"/>
      <c r="D170" s="16"/>
      <c r="E170" s="16"/>
      <c r="F170" s="16"/>
      <c r="G170" s="17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25">
      <c r="A171" s="16"/>
      <c r="B171" s="16"/>
      <c r="C171" s="16"/>
      <c r="D171" s="16"/>
      <c r="E171" s="16"/>
      <c r="F171" s="16"/>
      <c r="G171" s="17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25">
      <c r="A172" s="16"/>
      <c r="B172" s="16"/>
      <c r="C172" s="16"/>
      <c r="D172" s="16"/>
      <c r="E172" s="16"/>
      <c r="F172" s="16"/>
      <c r="G172" s="17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25">
      <c r="A173" s="16"/>
      <c r="B173" s="16"/>
      <c r="C173" s="16"/>
      <c r="D173" s="16"/>
      <c r="E173" s="16"/>
      <c r="F173" s="16"/>
      <c r="G173" s="17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25">
      <c r="A174" s="16"/>
      <c r="B174" s="16"/>
      <c r="C174" s="16"/>
      <c r="D174" s="16"/>
      <c r="E174" s="16"/>
      <c r="F174" s="16"/>
      <c r="G174" s="17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25">
      <c r="A175" s="16"/>
      <c r="B175" s="16"/>
      <c r="C175" s="16"/>
      <c r="D175" s="16"/>
      <c r="E175" s="16"/>
      <c r="F175" s="16"/>
      <c r="G175" s="17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25">
      <c r="A176" s="16"/>
      <c r="B176" s="16"/>
      <c r="C176" s="16"/>
      <c r="D176" s="16"/>
      <c r="E176" s="16"/>
      <c r="F176" s="16"/>
      <c r="G176" s="17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25">
      <c r="A177" s="16"/>
      <c r="B177" s="16"/>
      <c r="C177" s="16"/>
      <c r="D177" s="16"/>
      <c r="E177" s="16"/>
      <c r="F177" s="16"/>
      <c r="G177" s="17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25">
      <c r="A178" s="16"/>
      <c r="B178" s="16"/>
      <c r="C178" s="16"/>
      <c r="D178" s="16"/>
      <c r="E178" s="16"/>
      <c r="F178" s="16"/>
      <c r="G178" s="17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25">
      <c r="A179" s="16"/>
      <c r="B179" s="16"/>
      <c r="C179" s="16"/>
      <c r="D179" s="16"/>
      <c r="E179" s="16"/>
      <c r="F179" s="16"/>
      <c r="G179" s="17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25">
      <c r="A180" s="16"/>
      <c r="B180" s="16"/>
      <c r="C180" s="16"/>
      <c r="D180" s="16"/>
      <c r="E180" s="16"/>
      <c r="F180" s="16"/>
      <c r="G180" s="17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25">
      <c r="A181" s="16"/>
      <c r="B181" s="16"/>
      <c r="C181" s="16"/>
      <c r="D181" s="16"/>
      <c r="E181" s="16"/>
      <c r="F181" s="16"/>
      <c r="G181" s="17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25">
      <c r="A182" s="16"/>
      <c r="B182" s="16"/>
      <c r="C182" s="16"/>
      <c r="D182" s="16"/>
      <c r="E182" s="16"/>
      <c r="F182" s="16"/>
      <c r="G182" s="17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25">
      <c r="A183" s="16"/>
      <c r="B183" s="16"/>
      <c r="C183" s="16"/>
      <c r="D183" s="16"/>
      <c r="E183" s="16"/>
      <c r="F183" s="16"/>
      <c r="G183" s="17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25">
      <c r="A184" s="16"/>
      <c r="B184" s="16"/>
      <c r="C184" s="16"/>
      <c r="D184" s="16"/>
      <c r="E184" s="16"/>
      <c r="F184" s="16"/>
      <c r="G184" s="17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25">
      <c r="A185" s="16"/>
      <c r="B185" s="16"/>
      <c r="C185" s="16"/>
      <c r="D185" s="16"/>
      <c r="E185" s="16"/>
      <c r="F185" s="16"/>
      <c r="G185" s="17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25">
      <c r="A186" s="16"/>
      <c r="B186" s="16"/>
      <c r="C186" s="16"/>
      <c r="D186" s="16"/>
      <c r="E186" s="16"/>
      <c r="F186" s="16"/>
      <c r="G186" s="17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25">
      <c r="A187" s="16"/>
      <c r="B187" s="16"/>
      <c r="C187" s="16"/>
      <c r="D187" s="16"/>
      <c r="E187" s="16"/>
      <c r="F187" s="16"/>
      <c r="G187" s="17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25">
      <c r="A188" s="16"/>
      <c r="B188" s="16"/>
      <c r="C188" s="16"/>
      <c r="D188" s="16"/>
      <c r="E188" s="16"/>
      <c r="F188" s="16"/>
      <c r="G188" s="17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25">
      <c r="A189" s="16"/>
      <c r="B189" s="16"/>
      <c r="C189" s="16"/>
      <c r="D189" s="16"/>
      <c r="E189" s="16"/>
      <c r="F189" s="16"/>
      <c r="G189" s="17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25">
      <c r="A190" s="16"/>
      <c r="B190" s="16"/>
      <c r="C190" s="16"/>
      <c r="D190" s="16"/>
      <c r="E190" s="16"/>
      <c r="F190" s="16"/>
      <c r="G190" s="17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25">
      <c r="A191" s="16"/>
      <c r="B191" s="16"/>
      <c r="C191" s="16"/>
      <c r="D191" s="16"/>
      <c r="E191" s="16"/>
      <c r="F191" s="16"/>
      <c r="G191" s="17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25">
      <c r="A192" s="16"/>
      <c r="B192" s="16"/>
      <c r="C192" s="16"/>
      <c r="D192" s="16"/>
      <c r="E192" s="16"/>
      <c r="F192" s="16"/>
      <c r="G192" s="17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25">
      <c r="A193" s="16"/>
      <c r="B193" s="16"/>
      <c r="C193" s="16"/>
      <c r="D193" s="16"/>
      <c r="E193" s="16"/>
      <c r="F193" s="16"/>
      <c r="G193" s="17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25">
      <c r="A194" s="16"/>
      <c r="B194" s="16"/>
      <c r="C194" s="16"/>
      <c r="D194" s="16"/>
      <c r="E194" s="16"/>
      <c r="F194" s="16"/>
      <c r="G194" s="17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25">
      <c r="A195" s="16"/>
      <c r="B195" s="16"/>
      <c r="C195" s="16"/>
      <c r="D195" s="16"/>
      <c r="E195" s="16"/>
      <c r="F195" s="16"/>
      <c r="G195" s="17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25">
      <c r="A196" s="16"/>
      <c r="B196" s="16"/>
      <c r="C196" s="16"/>
      <c r="D196" s="16"/>
      <c r="E196" s="16"/>
      <c r="F196" s="16"/>
      <c r="G196" s="17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25">
      <c r="A197" s="16"/>
      <c r="B197" s="16"/>
      <c r="C197" s="16"/>
      <c r="D197" s="16"/>
      <c r="E197" s="16"/>
      <c r="F197" s="16"/>
      <c r="G197" s="17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25">
      <c r="A198" s="16"/>
      <c r="B198" s="16"/>
      <c r="C198" s="16"/>
      <c r="D198" s="16"/>
      <c r="E198" s="16"/>
      <c r="F198" s="16"/>
      <c r="G198" s="17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25">
      <c r="A199" s="16"/>
      <c r="B199" s="16"/>
      <c r="C199" s="16"/>
      <c r="D199" s="16"/>
      <c r="E199" s="16"/>
      <c r="F199" s="16"/>
      <c r="G199" s="17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25">
      <c r="A200" s="16"/>
      <c r="B200" s="16"/>
      <c r="C200" s="16"/>
      <c r="D200" s="16"/>
      <c r="E200" s="16"/>
      <c r="F200" s="16"/>
      <c r="G200" s="17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25">
      <c r="A201" s="16"/>
      <c r="B201" s="16"/>
      <c r="C201" s="16"/>
      <c r="D201" s="16"/>
      <c r="E201" s="16"/>
      <c r="F201" s="16"/>
      <c r="G201" s="17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25">
      <c r="A202" s="16"/>
      <c r="B202" s="16"/>
      <c r="C202" s="16"/>
      <c r="D202" s="16"/>
      <c r="E202" s="16"/>
      <c r="F202" s="16"/>
      <c r="G202" s="17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25">
      <c r="A203" s="16"/>
      <c r="B203" s="16"/>
      <c r="C203" s="16"/>
      <c r="D203" s="16"/>
      <c r="E203" s="16"/>
      <c r="F203" s="16"/>
      <c r="G203" s="17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25">
      <c r="A204" s="16"/>
      <c r="B204" s="16"/>
      <c r="C204" s="16"/>
      <c r="D204" s="16"/>
      <c r="E204" s="16"/>
      <c r="F204" s="16"/>
      <c r="G204" s="17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25">
      <c r="A205" s="16"/>
      <c r="B205" s="16"/>
      <c r="C205" s="16"/>
      <c r="D205" s="16"/>
      <c r="E205" s="16"/>
      <c r="F205" s="16"/>
      <c r="G205" s="17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25">
      <c r="A206" s="16"/>
      <c r="B206" s="16"/>
      <c r="C206" s="16"/>
      <c r="D206" s="16"/>
      <c r="E206" s="16"/>
      <c r="F206" s="16"/>
      <c r="G206" s="17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25">
      <c r="A207" s="16"/>
      <c r="B207" s="16"/>
      <c r="C207" s="16"/>
      <c r="D207" s="16"/>
      <c r="E207" s="16"/>
      <c r="F207" s="16"/>
      <c r="G207" s="17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25">
      <c r="A208" s="16"/>
      <c r="B208" s="16"/>
      <c r="C208" s="16"/>
      <c r="D208" s="16"/>
      <c r="E208" s="16"/>
      <c r="F208" s="16"/>
      <c r="G208" s="17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25">
      <c r="A209" s="16"/>
      <c r="B209" s="16"/>
      <c r="C209" s="16"/>
      <c r="D209" s="16"/>
      <c r="E209" s="16"/>
      <c r="F209" s="16"/>
      <c r="G209" s="17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25">
      <c r="A210" s="16"/>
      <c r="B210" s="16"/>
      <c r="C210" s="16"/>
      <c r="D210" s="16"/>
      <c r="E210" s="16"/>
      <c r="F210" s="16"/>
      <c r="G210" s="17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25">
      <c r="A211" s="16"/>
      <c r="B211" s="16"/>
      <c r="C211" s="16"/>
      <c r="D211" s="16"/>
      <c r="E211" s="16"/>
      <c r="F211" s="16"/>
      <c r="G211" s="17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25">
      <c r="A212" s="16"/>
      <c r="B212" s="16"/>
      <c r="C212" s="16"/>
      <c r="D212" s="16"/>
      <c r="E212" s="16"/>
      <c r="F212" s="16"/>
      <c r="G212" s="17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25">
      <c r="A213" s="16"/>
      <c r="B213" s="16"/>
      <c r="C213" s="16"/>
      <c r="D213" s="16"/>
      <c r="E213" s="16"/>
      <c r="F213" s="16"/>
      <c r="G213" s="17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25">
      <c r="A214" s="16"/>
      <c r="B214" s="16"/>
      <c r="C214" s="16"/>
      <c r="D214" s="16"/>
      <c r="E214" s="16"/>
      <c r="F214" s="16"/>
      <c r="G214" s="17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25">
      <c r="A215" s="16"/>
      <c r="B215" s="16"/>
      <c r="C215" s="16"/>
      <c r="D215" s="16"/>
      <c r="E215" s="16"/>
      <c r="F215" s="16"/>
      <c r="G215" s="17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25">
      <c r="A216" s="16"/>
      <c r="B216" s="16"/>
      <c r="C216" s="16"/>
      <c r="D216" s="16"/>
      <c r="E216" s="16"/>
      <c r="F216" s="16"/>
      <c r="G216" s="17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25">
      <c r="A217" s="16"/>
      <c r="B217" s="16"/>
      <c r="C217" s="16"/>
      <c r="D217" s="16"/>
      <c r="E217" s="16"/>
      <c r="F217" s="16"/>
      <c r="G217" s="17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25">
      <c r="A218" s="16"/>
      <c r="B218" s="16"/>
      <c r="C218" s="16"/>
      <c r="D218" s="16"/>
      <c r="E218" s="16"/>
      <c r="F218" s="16"/>
      <c r="G218" s="17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25">
      <c r="A219" s="16"/>
      <c r="B219" s="16"/>
      <c r="C219" s="16"/>
      <c r="D219" s="16"/>
      <c r="E219" s="16"/>
      <c r="F219" s="16"/>
      <c r="G219" s="17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25">
      <c r="A220" s="16"/>
      <c r="B220" s="16"/>
      <c r="C220" s="16"/>
      <c r="D220" s="16"/>
      <c r="E220" s="16"/>
      <c r="F220" s="16"/>
      <c r="G220" s="17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25">
      <c r="A221" s="16"/>
      <c r="B221" s="16"/>
      <c r="C221" s="16"/>
      <c r="D221" s="16"/>
      <c r="E221" s="16"/>
      <c r="F221" s="16"/>
      <c r="G221" s="17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25">
      <c r="A222" s="16"/>
      <c r="B222" s="16"/>
      <c r="C222" s="16"/>
      <c r="D222" s="16"/>
      <c r="E222" s="16"/>
      <c r="F222" s="16"/>
      <c r="G222" s="17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25">
      <c r="A223" s="16"/>
      <c r="B223" s="16"/>
      <c r="C223" s="16"/>
      <c r="D223" s="16"/>
      <c r="E223" s="16"/>
      <c r="F223" s="16"/>
      <c r="G223" s="17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25">
      <c r="A224" s="16"/>
      <c r="B224" s="16"/>
      <c r="C224" s="16"/>
      <c r="D224" s="16"/>
      <c r="E224" s="16"/>
      <c r="F224" s="16"/>
      <c r="G224" s="17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25">
      <c r="A225" s="16"/>
      <c r="B225" s="16"/>
      <c r="C225" s="16"/>
      <c r="D225" s="16"/>
      <c r="E225" s="16"/>
      <c r="F225" s="16"/>
      <c r="G225" s="17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25"/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s="18" customFormat="1" ht="15.75" customHeight="1" x14ac:dyDescent="0.25"/>
    <row r="242" s="18" customFormat="1" ht="15.75" customHeight="1" x14ac:dyDescent="0.25"/>
    <row r="243" s="18" customFormat="1" ht="15.75" customHeight="1" x14ac:dyDescent="0.25"/>
    <row r="244" s="18" customFormat="1" ht="15.75" customHeight="1" x14ac:dyDescent="0.25"/>
    <row r="245" s="18" customFormat="1" ht="15.75" customHeight="1" x14ac:dyDescent="0.25"/>
    <row r="246" s="18" customFormat="1" ht="15.75" customHeight="1" x14ac:dyDescent="0.25"/>
    <row r="247" s="18" customFormat="1" ht="15.75" customHeight="1" x14ac:dyDescent="0.25"/>
    <row r="248" s="18" customFormat="1" ht="15.75" customHeight="1" x14ac:dyDescent="0.25"/>
    <row r="249" s="18" customFormat="1" ht="15.75" customHeight="1" x14ac:dyDescent="0.25"/>
    <row r="250" s="18" customFormat="1" ht="15.75" customHeight="1" x14ac:dyDescent="0.25"/>
    <row r="251" s="18" customFormat="1" ht="15.75" customHeight="1" x14ac:dyDescent="0.25"/>
    <row r="252" s="18" customFormat="1" ht="15.75" customHeight="1" x14ac:dyDescent="0.25"/>
    <row r="253" s="18" customFormat="1" ht="15.75" customHeight="1" x14ac:dyDescent="0.25"/>
    <row r="254" s="18" customFormat="1" ht="15.75" customHeight="1" x14ac:dyDescent="0.25"/>
    <row r="255" s="18" customFormat="1" ht="15.75" customHeight="1" x14ac:dyDescent="0.25"/>
    <row r="256" s="18" customFormat="1" ht="15.75" customHeight="1" x14ac:dyDescent="0.25"/>
    <row r="257" s="18" customFormat="1" ht="15.75" customHeight="1" x14ac:dyDescent="0.25"/>
    <row r="258" s="18" customFormat="1" ht="15.75" customHeight="1" x14ac:dyDescent="0.25"/>
    <row r="259" s="18" customFormat="1" ht="15.75" customHeight="1" x14ac:dyDescent="0.25"/>
    <row r="260" s="18" customFormat="1" ht="15.75" customHeight="1" x14ac:dyDescent="0.25"/>
    <row r="261" s="18" customFormat="1" ht="15.75" customHeight="1" x14ac:dyDescent="0.25"/>
    <row r="262" s="18" customFormat="1" ht="15.75" customHeight="1" x14ac:dyDescent="0.25"/>
    <row r="263" s="18" customFormat="1" ht="15.75" customHeight="1" x14ac:dyDescent="0.25"/>
    <row r="264" s="18" customFormat="1" ht="15.75" customHeight="1" x14ac:dyDescent="0.25"/>
    <row r="265" s="18" customFormat="1" ht="15.75" customHeight="1" x14ac:dyDescent="0.25"/>
    <row r="266" s="18" customFormat="1" ht="15.75" customHeight="1" x14ac:dyDescent="0.25"/>
    <row r="267" s="18" customFormat="1" ht="15.75" customHeight="1" x14ac:dyDescent="0.25"/>
    <row r="268" s="18" customFormat="1" ht="15.75" customHeight="1" x14ac:dyDescent="0.25"/>
    <row r="269" s="18" customFormat="1" ht="15.75" customHeight="1" x14ac:dyDescent="0.25"/>
    <row r="270" s="18" customFormat="1" ht="15.75" customHeight="1" x14ac:dyDescent="0.25"/>
    <row r="271" s="18" customFormat="1" ht="15.75" customHeight="1" x14ac:dyDescent="0.25"/>
    <row r="272" s="18" customFormat="1" ht="15.75" customHeight="1" x14ac:dyDescent="0.25"/>
    <row r="273" s="18" customFormat="1" ht="15.75" customHeight="1" x14ac:dyDescent="0.25"/>
    <row r="274" s="18" customFormat="1" ht="15.75" customHeight="1" x14ac:dyDescent="0.25"/>
    <row r="275" s="18" customFormat="1" ht="15.75" customHeight="1" x14ac:dyDescent="0.25"/>
    <row r="276" s="18" customFormat="1" ht="15.75" customHeight="1" x14ac:dyDescent="0.25"/>
    <row r="277" s="18" customFormat="1" ht="15.75" customHeight="1" x14ac:dyDescent="0.25"/>
    <row r="278" s="18" customFormat="1" ht="15.75" customHeight="1" x14ac:dyDescent="0.25"/>
    <row r="279" s="18" customFormat="1" ht="15.75" customHeight="1" x14ac:dyDescent="0.25"/>
    <row r="280" s="18" customFormat="1" ht="15.75" customHeight="1" x14ac:dyDescent="0.25"/>
    <row r="281" s="18" customFormat="1" ht="15.75" customHeight="1" x14ac:dyDescent="0.25"/>
    <row r="282" s="18" customFormat="1" ht="15.75" customHeight="1" x14ac:dyDescent="0.25"/>
    <row r="283" s="18" customFormat="1" ht="15.75" customHeight="1" x14ac:dyDescent="0.25"/>
    <row r="284" s="18" customFormat="1" ht="15.75" customHeight="1" x14ac:dyDescent="0.25"/>
    <row r="285" s="18" customFormat="1" ht="15.75" customHeight="1" x14ac:dyDescent="0.25"/>
    <row r="286" s="18" customFormat="1" ht="15.75" customHeight="1" x14ac:dyDescent="0.25"/>
    <row r="287" s="18" customFormat="1" ht="15.75" customHeight="1" x14ac:dyDescent="0.25"/>
    <row r="288" s="18" customFormat="1" ht="15.75" customHeight="1" x14ac:dyDescent="0.25"/>
    <row r="289" s="18" customFormat="1" ht="15.75" customHeight="1" x14ac:dyDescent="0.25"/>
    <row r="290" s="18" customFormat="1" ht="15.75" customHeight="1" x14ac:dyDescent="0.25"/>
    <row r="291" s="18" customFormat="1" ht="15.75" customHeight="1" x14ac:dyDescent="0.25"/>
    <row r="292" s="18" customFormat="1" ht="15.75" customHeight="1" x14ac:dyDescent="0.25"/>
    <row r="293" s="18" customFormat="1" ht="15.75" customHeight="1" x14ac:dyDescent="0.25"/>
    <row r="294" s="18" customFormat="1" ht="15.75" customHeight="1" x14ac:dyDescent="0.25"/>
    <row r="295" s="18" customFormat="1" ht="15.75" customHeight="1" x14ac:dyDescent="0.25"/>
    <row r="296" s="18" customFormat="1" ht="15.75" customHeight="1" x14ac:dyDescent="0.25"/>
    <row r="297" s="18" customFormat="1" ht="15.75" customHeight="1" x14ac:dyDescent="0.25"/>
    <row r="298" s="18" customFormat="1" ht="15.75" customHeight="1" x14ac:dyDescent="0.25"/>
    <row r="299" s="18" customFormat="1" ht="15.75" customHeight="1" x14ac:dyDescent="0.25"/>
    <row r="300" s="18" customFormat="1" ht="15.75" customHeight="1" x14ac:dyDescent="0.25"/>
    <row r="301" s="18" customFormat="1" ht="15.75" customHeight="1" x14ac:dyDescent="0.25"/>
    <row r="302" s="18" customFormat="1" ht="15.75" customHeight="1" x14ac:dyDescent="0.25"/>
    <row r="303" s="18" customFormat="1" ht="15.75" customHeight="1" x14ac:dyDescent="0.25"/>
    <row r="304" s="18" customFormat="1" ht="15.75" customHeight="1" x14ac:dyDescent="0.25"/>
    <row r="305" s="18" customFormat="1" ht="15.75" customHeight="1" x14ac:dyDescent="0.25"/>
    <row r="306" s="18" customFormat="1" ht="15.75" customHeight="1" x14ac:dyDescent="0.25"/>
    <row r="307" s="18" customFormat="1" ht="15.75" customHeight="1" x14ac:dyDescent="0.25"/>
    <row r="308" s="18" customFormat="1" ht="15.75" customHeight="1" x14ac:dyDescent="0.25"/>
    <row r="309" s="18" customFormat="1" ht="15.75" customHeight="1" x14ac:dyDescent="0.25"/>
    <row r="310" s="18" customFormat="1" ht="15.75" customHeight="1" x14ac:dyDescent="0.25"/>
    <row r="311" s="18" customFormat="1" ht="15.75" customHeight="1" x14ac:dyDescent="0.25"/>
    <row r="312" s="18" customFormat="1" ht="15.75" customHeight="1" x14ac:dyDescent="0.25"/>
    <row r="313" s="18" customFormat="1" ht="15.75" customHeight="1" x14ac:dyDescent="0.25"/>
    <row r="314" s="18" customFormat="1" ht="15.75" customHeight="1" x14ac:dyDescent="0.25"/>
    <row r="315" s="18" customFormat="1" ht="15.75" customHeight="1" x14ac:dyDescent="0.25"/>
    <row r="316" s="18" customFormat="1" ht="15.75" customHeight="1" x14ac:dyDescent="0.25"/>
    <row r="317" s="18" customFormat="1" ht="15.75" customHeight="1" x14ac:dyDescent="0.25"/>
    <row r="318" s="18" customFormat="1" ht="15.75" customHeight="1" x14ac:dyDescent="0.25"/>
    <row r="319" s="18" customFormat="1" ht="15.75" customHeight="1" x14ac:dyDescent="0.25"/>
    <row r="320" s="18" customFormat="1" ht="15.75" customHeight="1" x14ac:dyDescent="0.25"/>
    <row r="321" s="18" customFormat="1" ht="15.75" customHeight="1" x14ac:dyDescent="0.25"/>
    <row r="322" s="18" customFormat="1" ht="15.75" customHeight="1" x14ac:dyDescent="0.25"/>
    <row r="323" s="18" customFormat="1" ht="15.75" customHeight="1" x14ac:dyDescent="0.25"/>
    <row r="324" s="18" customFormat="1" ht="15.75" customHeight="1" x14ac:dyDescent="0.25"/>
    <row r="325" s="18" customFormat="1" ht="15.75" customHeight="1" x14ac:dyDescent="0.25"/>
    <row r="326" s="18" customFormat="1" ht="15.75" customHeight="1" x14ac:dyDescent="0.25"/>
    <row r="327" s="18" customFormat="1" ht="15.75" customHeight="1" x14ac:dyDescent="0.25"/>
    <row r="328" s="18" customFormat="1" ht="15.75" customHeight="1" x14ac:dyDescent="0.25"/>
    <row r="329" s="18" customFormat="1" ht="15.75" customHeight="1" x14ac:dyDescent="0.25"/>
    <row r="330" s="18" customFormat="1" ht="15.75" customHeight="1" x14ac:dyDescent="0.25"/>
    <row r="331" s="18" customFormat="1" ht="15.75" customHeight="1" x14ac:dyDescent="0.25"/>
    <row r="332" s="18" customFormat="1" ht="15.75" customHeight="1" x14ac:dyDescent="0.25"/>
    <row r="333" s="18" customFormat="1" ht="15.75" customHeight="1" x14ac:dyDescent="0.25"/>
    <row r="334" s="18" customFormat="1" ht="15.75" customHeight="1" x14ac:dyDescent="0.25"/>
    <row r="335" s="18" customFormat="1" ht="15.75" customHeight="1" x14ac:dyDescent="0.25"/>
    <row r="336" s="18" customFormat="1" ht="15.75" customHeight="1" x14ac:dyDescent="0.25"/>
    <row r="337" s="18" customFormat="1" ht="15.75" customHeight="1" x14ac:dyDescent="0.25"/>
    <row r="338" s="18" customFormat="1" ht="15.75" customHeight="1" x14ac:dyDescent="0.25"/>
    <row r="339" s="18" customFormat="1" ht="15.75" customHeight="1" x14ac:dyDescent="0.25"/>
    <row r="340" s="18" customFormat="1" ht="15.75" customHeight="1" x14ac:dyDescent="0.25"/>
    <row r="341" s="18" customFormat="1" ht="15.75" customHeight="1" x14ac:dyDescent="0.25"/>
    <row r="342" s="18" customFormat="1" ht="15.75" customHeight="1" x14ac:dyDescent="0.25"/>
    <row r="343" s="18" customFormat="1" ht="15.75" customHeight="1" x14ac:dyDescent="0.25"/>
    <row r="344" s="18" customFormat="1" ht="15.75" customHeight="1" x14ac:dyDescent="0.25"/>
    <row r="345" s="18" customFormat="1" ht="15.75" customHeight="1" x14ac:dyDescent="0.25"/>
    <row r="346" s="18" customFormat="1" ht="15.75" customHeight="1" x14ac:dyDescent="0.25"/>
    <row r="347" s="18" customFormat="1" ht="15.75" customHeight="1" x14ac:dyDescent="0.25"/>
    <row r="348" s="18" customFormat="1" ht="15.75" customHeight="1" x14ac:dyDescent="0.25"/>
    <row r="349" s="18" customFormat="1" ht="15.75" customHeight="1" x14ac:dyDescent="0.25"/>
    <row r="350" s="18" customFormat="1" ht="15.75" customHeight="1" x14ac:dyDescent="0.25"/>
    <row r="351" s="18" customFormat="1" ht="15.75" customHeight="1" x14ac:dyDescent="0.25"/>
    <row r="352" s="18" customFormat="1" ht="15.75" customHeight="1" x14ac:dyDescent="0.25"/>
    <row r="353" s="18" customFormat="1" ht="15.75" customHeight="1" x14ac:dyDescent="0.25"/>
    <row r="354" s="18" customFormat="1" ht="15.75" customHeight="1" x14ac:dyDescent="0.25"/>
    <row r="355" s="18" customFormat="1" ht="15.75" customHeight="1" x14ac:dyDescent="0.25"/>
    <row r="356" s="18" customFormat="1" ht="15.75" customHeight="1" x14ac:dyDescent="0.25"/>
    <row r="357" s="18" customFormat="1" ht="15.75" customHeight="1" x14ac:dyDescent="0.25"/>
    <row r="358" s="18" customFormat="1" ht="15.75" customHeight="1" x14ac:dyDescent="0.25"/>
    <row r="359" s="18" customFormat="1" ht="15.75" customHeight="1" x14ac:dyDescent="0.25"/>
    <row r="360" s="18" customFormat="1" ht="15.75" customHeight="1" x14ac:dyDescent="0.25"/>
    <row r="361" s="18" customFormat="1" ht="15.75" customHeight="1" x14ac:dyDescent="0.25"/>
    <row r="362" s="18" customFormat="1" ht="15.75" customHeight="1" x14ac:dyDescent="0.25"/>
    <row r="363" s="18" customFormat="1" ht="15.75" customHeight="1" x14ac:dyDescent="0.25"/>
    <row r="364" s="18" customFormat="1" ht="15.75" customHeight="1" x14ac:dyDescent="0.25"/>
    <row r="365" s="18" customFormat="1" ht="15.75" customHeight="1" x14ac:dyDescent="0.25"/>
    <row r="366" s="18" customFormat="1" ht="15.75" customHeight="1" x14ac:dyDescent="0.25"/>
    <row r="367" s="18" customFormat="1" ht="15.75" customHeight="1" x14ac:dyDescent="0.25"/>
    <row r="368" s="18" customFormat="1" ht="15.75" customHeight="1" x14ac:dyDescent="0.25"/>
    <row r="369" s="18" customFormat="1" ht="15.75" customHeight="1" x14ac:dyDescent="0.25"/>
    <row r="370" s="18" customFormat="1" ht="15.75" customHeight="1" x14ac:dyDescent="0.25"/>
    <row r="371" s="18" customFormat="1" ht="15.75" customHeight="1" x14ac:dyDescent="0.25"/>
    <row r="372" s="18" customFormat="1" ht="15.75" customHeight="1" x14ac:dyDescent="0.25"/>
    <row r="373" s="18" customFormat="1" ht="15.75" customHeight="1" x14ac:dyDescent="0.25"/>
    <row r="374" s="18" customFormat="1" ht="15.75" customHeight="1" x14ac:dyDescent="0.25"/>
    <row r="375" s="18" customFormat="1" ht="15.75" customHeight="1" x14ac:dyDescent="0.25"/>
    <row r="376" s="18" customFormat="1" ht="15.75" customHeight="1" x14ac:dyDescent="0.25"/>
    <row r="377" s="18" customFormat="1" ht="15.75" customHeight="1" x14ac:dyDescent="0.25"/>
    <row r="378" s="18" customFormat="1" ht="15.75" customHeight="1" x14ac:dyDescent="0.25"/>
    <row r="379" s="18" customFormat="1" ht="15.75" customHeight="1" x14ac:dyDescent="0.25"/>
    <row r="380" s="18" customFormat="1" ht="15.75" customHeight="1" x14ac:dyDescent="0.25"/>
    <row r="381" s="18" customFormat="1" ht="15.75" customHeight="1" x14ac:dyDescent="0.25"/>
    <row r="382" s="18" customFormat="1" ht="15.75" customHeight="1" x14ac:dyDescent="0.25"/>
    <row r="383" s="18" customFormat="1" ht="15.75" customHeight="1" x14ac:dyDescent="0.25"/>
    <row r="384" s="18" customFormat="1" ht="15.75" customHeight="1" x14ac:dyDescent="0.25"/>
    <row r="385" s="18" customFormat="1" ht="15.75" customHeight="1" x14ac:dyDescent="0.25"/>
    <row r="386" s="18" customFormat="1" ht="15.75" customHeight="1" x14ac:dyDescent="0.25"/>
    <row r="387" s="18" customFormat="1" ht="15.75" customHeight="1" x14ac:dyDescent="0.25"/>
    <row r="388" s="18" customFormat="1" ht="15.75" customHeight="1" x14ac:dyDescent="0.25"/>
    <row r="389" s="18" customFormat="1" ht="15.75" customHeight="1" x14ac:dyDescent="0.25"/>
    <row r="390" s="18" customFormat="1" ht="15.75" customHeight="1" x14ac:dyDescent="0.25"/>
    <row r="391" s="18" customFormat="1" ht="15.75" customHeight="1" x14ac:dyDescent="0.25"/>
    <row r="392" s="18" customFormat="1" ht="15.75" customHeight="1" x14ac:dyDescent="0.25"/>
    <row r="393" s="18" customFormat="1" ht="15.75" customHeight="1" x14ac:dyDescent="0.25"/>
    <row r="394" s="18" customFormat="1" ht="15.75" customHeight="1" x14ac:dyDescent="0.25"/>
    <row r="395" s="18" customFormat="1" ht="15.75" customHeight="1" x14ac:dyDescent="0.25"/>
    <row r="396" s="18" customFormat="1" ht="15.75" customHeight="1" x14ac:dyDescent="0.25"/>
    <row r="397" s="18" customFormat="1" ht="15.75" customHeight="1" x14ac:dyDescent="0.25"/>
    <row r="398" s="18" customFormat="1" ht="15.75" customHeight="1" x14ac:dyDescent="0.25"/>
    <row r="399" s="18" customFormat="1" ht="15.75" customHeight="1" x14ac:dyDescent="0.25"/>
    <row r="400" s="18" customFormat="1" ht="15.75" customHeight="1" x14ac:dyDescent="0.25"/>
    <row r="401" s="18" customFormat="1" ht="15.75" customHeight="1" x14ac:dyDescent="0.25"/>
    <row r="402" s="18" customFormat="1" ht="15.75" customHeight="1" x14ac:dyDescent="0.25"/>
    <row r="403" s="18" customFormat="1" ht="15.75" customHeight="1" x14ac:dyDescent="0.25"/>
    <row r="404" s="18" customFormat="1" ht="15.75" customHeight="1" x14ac:dyDescent="0.25"/>
    <row r="405" s="18" customFormat="1" ht="15.75" customHeight="1" x14ac:dyDescent="0.25"/>
    <row r="406" s="18" customFormat="1" ht="15.75" customHeight="1" x14ac:dyDescent="0.25"/>
    <row r="407" s="18" customFormat="1" ht="15.75" customHeight="1" x14ac:dyDescent="0.25"/>
    <row r="408" s="18" customFormat="1" ht="15.75" customHeight="1" x14ac:dyDescent="0.25"/>
    <row r="409" s="18" customFormat="1" ht="15.75" customHeight="1" x14ac:dyDescent="0.25"/>
    <row r="410" s="18" customFormat="1" ht="15.75" customHeight="1" x14ac:dyDescent="0.25"/>
    <row r="411" s="18" customFormat="1" ht="15.75" customHeight="1" x14ac:dyDescent="0.25"/>
    <row r="412" s="18" customFormat="1" ht="15.75" customHeight="1" x14ac:dyDescent="0.25"/>
    <row r="413" s="18" customFormat="1" ht="15.75" customHeight="1" x14ac:dyDescent="0.25"/>
    <row r="414" s="18" customFormat="1" ht="15.75" customHeight="1" x14ac:dyDescent="0.25"/>
    <row r="415" s="18" customFormat="1" ht="15.75" customHeight="1" x14ac:dyDescent="0.25"/>
    <row r="416" s="18" customFormat="1" ht="15.75" customHeight="1" x14ac:dyDescent="0.25"/>
    <row r="417" s="18" customFormat="1" ht="15.75" customHeight="1" x14ac:dyDescent="0.25"/>
    <row r="418" s="18" customFormat="1" ht="15.75" customHeight="1" x14ac:dyDescent="0.25"/>
    <row r="419" s="18" customFormat="1" ht="15.75" customHeight="1" x14ac:dyDescent="0.25"/>
    <row r="420" s="18" customFormat="1" ht="15.75" customHeight="1" x14ac:dyDescent="0.25"/>
    <row r="421" s="18" customFormat="1" ht="15.75" customHeight="1" x14ac:dyDescent="0.25"/>
    <row r="422" s="18" customFormat="1" ht="15.75" customHeight="1" x14ac:dyDescent="0.25"/>
    <row r="423" s="18" customFormat="1" ht="15.75" customHeight="1" x14ac:dyDescent="0.25"/>
    <row r="424" s="18" customFormat="1" ht="15.75" customHeight="1" x14ac:dyDescent="0.25"/>
    <row r="425" s="18" customFormat="1" ht="15.75" customHeight="1" x14ac:dyDescent="0.25"/>
    <row r="426" s="18" customFormat="1" ht="15.75" customHeight="1" x14ac:dyDescent="0.25"/>
    <row r="427" s="18" customFormat="1" ht="15.75" customHeight="1" x14ac:dyDescent="0.25"/>
    <row r="428" s="18" customFormat="1" ht="15.75" customHeight="1" x14ac:dyDescent="0.25"/>
    <row r="429" s="18" customFormat="1" ht="15.75" customHeight="1" x14ac:dyDescent="0.25"/>
    <row r="430" s="18" customFormat="1" ht="15.75" customHeight="1" x14ac:dyDescent="0.25"/>
    <row r="431" s="18" customFormat="1" ht="15.75" customHeight="1" x14ac:dyDescent="0.25"/>
    <row r="432" s="18" customFormat="1" ht="15.75" customHeight="1" x14ac:dyDescent="0.25"/>
    <row r="433" s="18" customFormat="1" ht="15.75" customHeight="1" x14ac:dyDescent="0.25"/>
    <row r="434" s="18" customFormat="1" ht="15.75" customHeight="1" x14ac:dyDescent="0.25"/>
    <row r="435" s="18" customFormat="1" ht="15.75" customHeight="1" x14ac:dyDescent="0.25"/>
    <row r="436" s="18" customFormat="1" ht="15.75" customHeight="1" x14ac:dyDescent="0.25"/>
    <row r="437" s="18" customFormat="1" ht="15.75" customHeight="1" x14ac:dyDescent="0.25"/>
    <row r="438" s="18" customFormat="1" ht="15.75" customHeight="1" x14ac:dyDescent="0.25"/>
    <row r="439" s="18" customFormat="1" ht="15.75" customHeight="1" x14ac:dyDescent="0.25"/>
    <row r="440" s="18" customFormat="1" ht="15.75" customHeight="1" x14ac:dyDescent="0.25"/>
    <row r="441" s="18" customFormat="1" ht="15.75" customHeight="1" x14ac:dyDescent="0.25"/>
    <row r="442" s="18" customFormat="1" ht="15.75" customHeight="1" x14ac:dyDescent="0.25"/>
    <row r="443" s="18" customFormat="1" ht="15.75" customHeight="1" x14ac:dyDescent="0.25"/>
    <row r="444" s="18" customFormat="1" ht="15.75" customHeight="1" x14ac:dyDescent="0.25"/>
    <row r="445" s="18" customFormat="1" ht="15.75" customHeight="1" x14ac:dyDescent="0.25"/>
    <row r="446" s="18" customFormat="1" ht="15.75" customHeight="1" x14ac:dyDescent="0.25"/>
    <row r="447" s="18" customFormat="1" ht="15.75" customHeight="1" x14ac:dyDescent="0.25"/>
    <row r="448" s="18" customFormat="1" ht="15.75" customHeight="1" x14ac:dyDescent="0.25"/>
    <row r="449" s="18" customFormat="1" ht="15.75" customHeight="1" x14ac:dyDescent="0.25"/>
    <row r="450" s="18" customFormat="1" ht="15.75" customHeight="1" x14ac:dyDescent="0.25"/>
    <row r="451" s="18" customFormat="1" ht="15.75" customHeight="1" x14ac:dyDescent="0.25"/>
    <row r="452" s="18" customFormat="1" ht="15.75" customHeight="1" x14ac:dyDescent="0.25"/>
    <row r="453" s="18" customFormat="1" ht="15.75" customHeight="1" x14ac:dyDescent="0.25"/>
    <row r="454" s="18" customFormat="1" ht="15.75" customHeight="1" x14ac:dyDescent="0.25"/>
    <row r="455" s="18" customFormat="1" ht="15.75" customHeight="1" x14ac:dyDescent="0.25"/>
    <row r="456" s="18" customFormat="1" ht="15.75" customHeight="1" x14ac:dyDescent="0.25"/>
    <row r="457" s="18" customFormat="1" ht="15.75" customHeight="1" x14ac:dyDescent="0.25"/>
    <row r="458" s="18" customFormat="1" ht="15.75" customHeight="1" x14ac:dyDescent="0.25"/>
    <row r="459" s="18" customFormat="1" ht="15.75" customHeight="1" x14ac:dyDescent="0.25"/>
    <row r="460" s="18" customFormat="1" ht="15.75" customHeight="1" x14ac:dyDescent="0.25"/>
    <row r="461" s="18" customFormat="1" ht="15.75" customHeight="1" x14ac:dyDescent="0.25"/>
    <row r="462" s="18" customFormat="1" ht="15.75" customHeight="1" x14ac:dyDescent="0.25"/>
    <row r="463" s="18" customFormat="1" ht="15.75" customHeight="1" x14ac:dyDescent="0.25"/>
    <row r="464" s="18" customFormat="1" ht="15.75" customHeight="1" x14ac:dyDescent="0.25"/>
    <row r="465" s="18" customFormat="1" ht="15.75" customHeight="1" x14ac:dyDescent="0.25"/>
    <row r="466" s="18" customFormat="1" ht="15.75" customHeight="1" x14ac:dyDescent="0.25"/>
    <row r="467" s="18" customFormat="1" ht="15.75" customHeight="1" x14ac:dyDescent="0.25"/>
    <row r="468" s="18" customFormat="1" ht="15.75" customHeight="1" x14ac:dyDescent="0.25"/>
    <row r="469" s="18" customFormat="1" ht="15.75" customHeight="1" x14ac:dyDescent="0.25"/>
    <row r="470" s="18" customFormat="1" ht="15.75" customHeight="1" x14ac:dyDescent="0.25"/>
    <row r="471" s="18" customFormat="1" ht="15.75" customHeight="1" x14ac:dyDescent="0.25"/>
    <row r="472" s="18" customFormat="1" ht="15.75" customHeight="1" x14ac:dyDescent="0.25"/>
    <row r="473" s="18" customFormat="1" ht="15.75" customHeight="1" x14ac:dyDescent="0.25"/>
    <row r="474" s="18" customFormat="1" ht="15.75" customHeight="1" x14ac:dyDescent="0.25"/>
    <row r="475" s="18" customFormat="1" ht="15.75" customHeight="1" x14ac:dyDescent="0.25"/>
    <row r="476" s="18" customFormat="1" ht="15.75" customHeight="1" x14ac:dyDescent="0.25"/>
    <row r="477" s="18" customFormat="1" ht="15.75" customHeight="1" x14ac:dyDescent="0.25"/>
    <row r="478" s="18" customFormat="1" ht="15.75" customHeight="1" x14ac:dyDescent="0.25"/>
    <row r="479" s="18" customFormat="1" ht="15.75" customHeight="1" x14ac:dyDescent="0.25"/>
    <row r="480" s="18" customFormat="1" ht="15.75" customHeight="1" x14ac:dyDescent="0.25"/>
    <row r="481" s="18" customFormat="1" ht="15.75" customHeight="1" x14ac:dyDescent="0.25"/>
    <row r="482" s="18" customFormat="1" ht="15.75" customHeight="1" x14ac:dyDescent="0.25"/>
    <row r="483" s="18" customFormat="1" ht="15.75" customHeight="1" x14ac:dyDescent="0.25"/>
    <row r="484" s="18" customFormat="1" ht="15.75" customHeight="1" x14ac:dyDescent="0.25"/>
    <row r="485" s="18" customFormat="1" ht="15.75" customHeight="1" x14ac:dyDescent="0.25"/>
    <row r="486" s="18" customFormat="1" ht="15.75" customHeight="1" x14ac:dyDescent="0.25"/>
    <row r="487" s="18" customFormat="1" ht="15.75" customHeight="1" x14ac:dyDescent="0.25"/>
    <row r="488" s="18" customFormat="1" ht="15.75" customHeight="1" x14ac:dyDescent="0.25"/>
    <row r="489" s="18" customFormat="1" ht="15.75" customHeight="1" x14ac:dyDescent="0.25"/>
    <row r="490" s="18" customFormat="1" ht="15.75" customHeight="1" x14ac:dyDescent="0.25"/>
    <row r="491" s="18" customFormat="1" ht="15.75" customHeight="1" x14ac:dyDescent="0.25"/>
    <row r="492" s="18" customFormat="1" ht="15.75" customHeight="1" x14ac:dyDescent="0.25"/>
    <row r="493" s="18" customFormat="1" ht="15.75" customHeight="1" x14ac:dyDescent="0.25"/>
    <row r="494" s="18" customFormat="1" ht="15.75" customHeight="1" x14ac:dyDescent="0.25"/>
    <row r="495" s="18" customFormat="1" ht="15.75" customHeight="1" x14ac:dyDescent="0.25"/>
    <row r="496" s="18" customFormat="1" ht="15.75" customHeight="1" x14ac:dyDescent="0.25"/>
    <row r="497" s="18" customFormat="1" ht="15.75" customHeight="1" x14ac:dyDescent="0.25"/>
    <row r="498" s="18" customFormat="1" ht="15.75" customHeight="1" x14ac:dyDescent="0.25"/>
    <row r="499" s="18" customFormat="1" ht="15.75" customHeight="1" x14ac:dyDescent="0.25"/>
    <row r="500" s="18" customFormat="1" ht="15.75" customHeight="1" x14ac:dyDescent="0.25"/>
    <row r="501" s="18" customFormat="1" ht="15.75" customHeight="1" x14ac:dyDescent="0.25"/>
    <row r="502" s="18" customFormat="1" ht="15.75" customHeight="1" x14ac:dyDescent="0.25"/>
    <row r="503" s="18" customFormat="1" ht="15.75" customHeight="1" x14ac:dyDescent="0.25"/>
    <row r="504" s="18" customFormat="1" ht="15.75" customHeight="1" x14ac:dyDescent="0.25"/>
    <row r="505" s="18" customFormat="1" ht="15.75" customHeight="1" x14ac:dyDescent="0.25"/>
    <row r="506" s="18" customFormat="1" ht="15.75" customHeight="1" x14ac:dyDescent="0.25"/>
    <row r="507" s="18" customFormat="1" ht="15.75" customHeight="1" x14ac:dyDescent="0.25"/>
    <row r="508" s="18" customFormat="1" ht="15.75" customHeight="1" x14ac:dyDescent="0.25"/>
    <row r="509" s="18" customFormat="1" ht="15.75" customHeight="1" x14ac:dyDescent="0.25"/>
    <row r="510" s="18" customFormat="1" ht="15.75" customHeight="1" x14ac:dyDescent="0.25"/>
    <row r="511" s="18" customFormat="1" ht="15.75" customHeight="1" x14ac:dyDescent="0.25"/>
    <row r="512" s="18" customFormat="1" ht="15.75" customHeight="1" x14ac:dyDescent="0.25"/>
    <row r="513" s="18" customFormat="1" ht="15.75" customHeight="1" x14ac:dyDescent="0.25"/>
    <row r="514" s="18" customFormat="1" ht="15.75" customHeight="1" x14ac:dyDescent="0.25"/>
    <row r="515" s="18" customFormat="1" ht="15.75" customHeight="1" x14ac:dyDescent="0.25"/>
    <row r="516" s="18" customFormat="1" ht="15.75" customHeight="1" x14ac:dyDescent="0.25"/>
    <row r="517" s="18" customFormat="1" ht="15.75" customHeight="1" x14ac:dyDescent="0.25"/>
    <row r="518" s="18" customFormat="1" ht="15.75" customHeight="1" x14ac:dyDescent="0.25"/>
    <row r="519" s="18" customFormat="1" ht="15.75" customHeight="1" x14ac:dyDescent="0.25"/>
    <row r="520" s="18" customFormat="1" ht="15.75" customHeight="1" x14ac:dyDescent="0.25"/>
    <row r="521" s="18" customFormat="1" ht="15.75" customHeight="1" x14ac:dyDescent="0.25"/>
    <row r="522" s="18" customFormat="1" ht="15.75" customHeight="1" x14ac:dyDescent="0.25"/>
    <row r="523" s="18" customFormat="1" ht="15.75" customHeight="1" x14ac:dyDescent="0.25"/>
    <row r="524" s="18" customFormat="1" ht="15.75" customHeight="1" x14ac:dyDescent="0.25"/>
    <row r="525" s="18" customFormat="1" ht="15.75" customHeight="1" x14ac:dyDescent="0.25"/>
    <row r="526" s="18" customFormat="1" ht="15.75" customHeight="1" x14ac:dyDescent="0.25"/>
    <row r="527" s="18" customFormat="1" ht="15.75" customHeight="1" x14ac:dyDescent="0.25"/>
    <row r="528" s="18" customFormat="1" ht="15.75" customHeight="1" x14ac:dyDescent="0.25"/>
    <row r="529" s="18" customFormat="1" ht="15.75" customHeight="1" x14ac:dyDescent="0.25"/>
    <row r="530" s="18" customFormat="1" ht="15.75" customHeight="1" x14ac:dyDescent="0.25"/>
    <row r="531" s="18" customFormat="1" ht="15.75" customHeight="1" x14ac:dyDescent="0.25"/>
    <row r="532" s="18" customFormat="1" ht="15.75" customHeight="1" x14ac:dyDescent="0.25"/>
    <row r="533" s="18" customFormat="1" ht="15.75" customHeight="1" x14ac:dyDescent="0.25"/>
    <row r="534" s="18" customFormat="1" ht="15.75" customHeight="1" x14ac:dyDescent="0.25"/>
    <row r="535" s="18" customFormat="1" ht="15.75" customHeight="1" x14ac:dyDescent="0.25"/>
    <row r="536" s="18" customFormat="1" ht="15.75" customHeight="1" x14ac:dyDescent="0.25"/>
    <row r="537" s="18" customFormat="1" ht="15.75" customHeight="1" x14ac:dyDescent="0.25"/>
    <row r="538" s="18" customFormat="1" ht="15.75" customHeight="1" x14ac:dyDescent="0.25"/>
    <row r="539" s="18" customFormat="1" ht="15.75" customHeight="1" x14ac:dyDescent="0.25"/>
    <row r="540" s="18" customFormat="1" ht="15.75" customHeight="1" x14ac:dyDescent="0.25"/>
    <row r="541" s="18" customFormat="1" ht="15.75" customHeight="1" x14ac:dyDescent="0.25"/>
    <row r="542" s="18" customFormat="1" ht="15.75" customHeight="1" x14ac:dyDescent="0.25"/>
    <row r="543" s="18" customFormat="1" ht="15.75" customHeight="1" x14ac:dyDescent="0.25"/>
    <row r="544" s="18" customFormat="1" ht="15.75" customHeight="1" x14ac:dyDescent="0.25"/>
    <row r="545" s="18" customFormat="1" ht="15.75" customHeight="1" x14ac:dyDescent="0.25"/>
    <row r="546" s="18" customFormat="1" ht="15.75" customHeight="1" x14ac:dyDescent="0.25"/>
    <row r="547" s="18" customFormat="1" ht="15.75" customHeight="1" x14ac:dyDescent="0.25"/>
    <row r="548" s="18" customFormat="1" ht="15.75" customHeight="1" x14ac:dyDescent="0.25"/>
    <row r="549" s="18" customFormat="1" ht="15.75" customHeight="1" x14ac:dyDescent="0.25"/>
    <row r="550" s="18" customFormat="1" ht="15.75" customHeight="1" x14ac:dyDescent="0.25"/>
    <row r="551" s="18" customFormat="1" ht="15.75" customHeight="1" x14ac:dyDescent="0.25"/>
    <row r="552" s="18" customFormat="1" ht="15.75" customHeight="1" x14ac:dyDescent="0.25"/>
    <row r="553" s="18" customFormat="1" ht="15.75" customHeight="1" x14ac:dyDescent="0.25"/>
    <row r="554" s="18" customFormat="1" ht="15.75" customHeight="1" x14ac:dyDescent="0.25"/>
    <row r="555" s="18" customFormat="1" ht="15.75" customHeight="1" x14ac:dyDescent="0.25"/>
    <row r="556" s="18" customFormat="1" ht="15.75" customHeight="1" x14ac:dyDescent="0.25"/>
    <row r="557" s="18" customFormat="1" ht="15.75" customHeight="1" x14ac:dyDescent="0.25"/>
    <row r="558" s="18" customFormat="1" ht="15.75" customHeight="1" x14ac:dyDescent="0.25"/>
    <row r="559" s="18" customFormat="1" ht="15.75" customHeight="1" x14ac:dyDescent="0.25"/>
    <row r="560" s="18" customFormat="1" ht="15.75" customHeight="1" x14ac:dyDescent="0.25"/>
    <row r="561" s="18" customFormat="1" ht="15.75" customHeight="1" x14ac:dyDescent="0.25"/>
    <row r="562" s="18" customFormat="1" ht="15.75" customHeight="1" x14ac:dyDescent="0.25"/>
    <row r="563" s="18" customFormat="1" ht="15.75" customHeight="1" x14ac:dyDescent="0.25"/>
    <row r="564" s="18" customFormat="1" ht="15.75" customHeight="1" x14ac:dyDescent="0.25"/>
    <row r="565" s="18" customFormat="1" ht="15.75" customHeight="1" x14ac:dyDescent="0.25"/>
    <row r="566" s="18" customFormat="1" ht="15.75" customHeight="1" x14ac:dyDescent="0.25"/>
    <row r="567" s="18" customFormat="1" ht="15.75" customHeight="1" x14ac:dyDescent="0.25"/>
    <row r="568" s="18" customFormat="1" ht="15.75" customHeight="1" x14ac:dyDescent="0.25"/>
    <row r="569" s="18" customFormat="1" ht="15.75" customHeight="1" x14ac:dyDescent="0.25"/>
    <row r="570" s="18" customFormat="1" ht="15.75" customHeight="1" x14ac:dyDescent="0.25"/>
    <row r="571" s="18" customFormat="1" ht="15.75" customHeight="1" x14ac:dyDescent="0.25"/>
    <row r="572" s="18" customFormat="1" ht="15.75" customHeight="1" x14ac:dyDescent="0.25"/>
    <row r="573" s="18" customFormat="1" ht="15.75" customHeight="1" x14ac:dyDescent="0.25"/>
    <row r="574" s="18" customFormat="1" ht="15.75" customHeight="1" x14ac:dyDescent="0.25"/>
    <row r="575" s="18" customFormat="1" ht="15.75" customHeight="1" x14ac:dyDescent="0.25"/>
    <row r="576" s="18" customFormat="1" ht="15.75" customHeight="1" x14ac:dyDescent="0.25"/>
    <row r="577" s="18" customFormat="1" ht="15.75" customHeight="1" x14ac:dyDescent="0.25"/>
    <row r="578" s="18" customFormat="1" ht="15.75" customHeight="1" x14ac:dyDescent="0.25"/>
    <row r="579" s="18" customFormat="1" ht="15.75" customHeight="1" x14ac:dyDescent="0.25"/>
    <row r="580" s="18" customFormat="1" ht="15.75" customHeight="1" x14ac:dyDescent="0.25"/>
    <row r="581" s="18" customFormat="1" ht="15.75" customHeight="1" x14ac:dyDescent="0.25"/>
    <row r="582" s="18" customFormat="1" ht="15.75" customHeight="1" x14ac:dyDescent="0.25"/>
    <row r="583" s="18" customFormat="1" ht="15.75" customHeight="1" x14ac:dyDescent="0.25"/>
    <row r="584" s="18" customFormat="1" ht="15.75" customHeight="1" x14ac:dyDescent="0.25"/>
    <row r="585" s="18" customFormat="1" ht="15.75" customHeight="1" x14ac:dyDescent="0.25"/>
    <row r="586" s="18" customFormat="1" ht="15.75" customHeight="1" x14ac:dyDescent="0.25"/>
    <row r="587" s="18" customFormat="1" ht="15.75" customHeight="1" x14ac:dyDescent="0.25"/>
    <row r="588" s="18" customFormat="1" ht="15.75" customHeight="1" x14ac:dyDescent="0.25"/>
    <row r="589" s="18" customFormat="1" ht="15.75" customHeight="1" x14ac:dyDescent="0.25"/>
    <row r="590" s="18" customFormat="1" ht="15.75" customHeight="1" x14ac:dyDescent="0.25"/>
    <row r="591" s="18" customFormat="1" ht="15.75" customHeight="1" x14ac:dyDescent="0.25"/>
    <row r="592" s="18" customFormat="1" ht="15.75" customHeight="1" x14ac:dyDescent="0.25"/>
    <row r="593" s="18" customFormat="1" ht="15.75" customHeight="1" x14ac:dyDescent="0.25"/>
    <row r="594" s="18" customFormat="1" ht="15.75" customHeight="1" x14ac:dyDescent="0.25"/>
    <row r="595" s="18" customFormat="1" ht="15.75" customHeight="1" x14ac:dyDescent="0.25"/>
    <row r="596" s="18" customFormat="1" ht="15.75" customHeight="1" x14ac:dyDescent="0.25"/>
    <row r="597" s="18" customFormat="1" ht="15.75" customHeight="1" x14ac:dyDescent="0.25"/>
    <row r="598" s="18" customFormat="1" ht="15.75" customHeight="1" x14ac:dyDescent="0.25"/>
    <row r="599" s="18" customFormat="1" ht="15.75" customHeight="1" x14ac:dyDescent="0.25"/>
    <row r="600" s="18" customFormat="1" ht="15.75" customHeight="1" x14ac:dyDescent="0.25"/>
    <row r="601" s="18" customFormat="1" ht="15.75" customHeight="1" x14ac:dyDescent="0.25"/>
    <row r="602" s="18" customFormat="1" ht="15.75" customHeight="1" x14ac:dyDescent="0.25"/>
    <row r="603" s="18" customFormat="1" ht="15.75" customHeight="1" x14ac:dyDescent="0.25"/>
    <row r="604" s="18" customFormat="1" ht="15.75" customHeight="1" x14ac:dyDescent="0.25"/>
    <row r="605" s="18" customFormat="1" ht="15.75" customHeight="1" x14ac:dyDescent="0.25"/>
    <row r="606" s="18" customFormat="1" ht="15.75" customHeight="1" x14ac:dyDescent="0.25"/>
    <row r="607" s="18" customFormat="1" ht="15.75" customHeight="1" x14ac:dyDescent="0.25"/>
    <row r="608" s="18" customFormat="1" ht="15.75" customHeight="1" x14ac:dyDescent="0.25"/>
    <row r="609" s="18" customFormat="1" ht="15.75" customHeight="1" x14ac:dyDescent="0.25"/>
    <row r="610" s="18" customFormat="1" ht="15.75" customHeight="1" x14ac:dyDescent="0.25"/>
    <row r="611" s="18" customFormat="1" ht="15.75" customHeight="1" x14ac:dyDescent="0.25"/>
    <row r="612" s="18" customFormat="1" ht="15.75" customHeight="1" x14ac:dyDescent="0.25"/>
    <row r="613" s="18" customFormat="1" ht="15.75" customHeight="1" x14ac:dyDescent="0.25"/>
    <row r="614" s="18" customFormat="1" ht="15.75" customHeight="1" x14ac:dyDescent="0.25"/>
    <row r="615" s="18" customFormat="1" ht="15.75" customHeight="1" x14ac:dyDescent="0.25"/>
    <row r="616" s="18" customFormat="1" ht="15.75" customHeight="1" x14ac:dyDescent="0.25"/>
    <row r="617" s="18" customFormat="1" ht="15.75" customHeight="1" x14ac:dyDescent="0.25"/>
    <row r="618" s="18" customFormat="1" ht="15.75" customHeight="1" x14ac:dyDescent="0.25"/>
    <row r="619" s="18" customFormat="1" ht="15.75" customHeight="1" x14ac:dyDescent="0.25"/>
    <row r="620" s="18" customFormat="1" ht="15.75" customHeight="1" x14ac:dyDescent="0.25"/>
    <row r="621" s="18" customFormat="1" ht="15.75" customHeight="1" x14ac:dyDescent="0.25"/>
    <row r="622" s="18" customFormat="1" ht="15.75" customHeight="1" x14ac:dyDescent="0.25"/>
    <row r="623" s="18" customFormat="1" ht="15.75" customHeight="1" x14ac:dyDescent="0.25"/>
    <row r="624" s="18" customFormat="1" ht="15.75" customHeight="1" x14ac:dyDescent="0.25"/>
    <row r="625" s="18" customFormat="1" ht="15.75" customHeight="1" x14ac:dyDescent="0.25"/>
    <row r="626" s="18" customFormat="1" ht="15.75" customHeight="1" x14ac:dyDescent="0.25"/>
    <row r="627" s="18" customFormat="1" ht="15.75" customHeight="1" x14ac:dyDescent="0.25"/>
    <row r="628" s="18" customFormat="1" ht="15.75" customHeight="1" x14ac:dyDescent="0.25"/>
    <row r="629" s="18" customFormat="1" ht="15.75" customHeight="1" x14ac:dyDescent="0.25"/>
    <row r="630" s="18" customFormat="1" ht="15.75" customHeight="1" x14ac:dyDescent="0.25"/>
    <row r="631" s="18" customFormat="1" ht="15.75" customHeight="1" x14ac:dyDescent="0.25"/>
    <row r="632" s="18" customFormat="1" ht="15.75" customHeight="1" x14ac:dyDescent="0.25"/>
    <row r="633" s="18" customFormat="1" ht="15.75" customHeight="1" x14ac:dyDescent="0.25"/>
    <row r="634" s="18" customFormat="1" ht="15.75" customHeight="1" x14ac:dyDescent="0.25"/>
    <row r="635" s="18" customFormat="1" ht="15.75" customHeight="1" x14ac:dyDescent="0.25"/>
    <row r="636" s="18" customFormat="1" ht="15.75" customHeight="1" x14ac:dyDescent="0.25"/>
    <row r="637" s="18" customFormat="1" ht="15.75" customHeight="1" x14ac:dyDescent="0.25"/>
    <row r="638" s="18" customFormat="1" ht="15.75" customHeight="1" x14ac:dyDescent="0.25"/>
    <row r="639" s="18" customFormat="1" ht="15.75" customHeight="1" x14ac:dyDescent="0.25"/>
    <row r="640" s="18" customFormat="1" ht="15.75" customHeight="1" x14ac:dyDescent="0.25"/>
    <row r="641" s="18" customFormat="1" ht="15.75" customHeight="1" x14ac:dyDescent="0.25"/>
    <row r="642" s="18" customFormat="1" ht="15.75" customHeight="1" x14ac:dyDescent="0.25"/>
    <row r="643" s="18" customFormat="1" ht="15.75" customHeight="1" x14ac:dyDescent="0.25"/>
    <row r="644" s="18" customFormat="1" ht="15.75" customHeight="1" x14ac:dyDescent="0.25"/>
    <row r="645" s="18" customFormat="1" ht="15.75" customHeight="1" x14ac:dyDescent="0.25"/>
    <row r="646" s="18" customFormat="1" ht="15.75" customHeight="1" x14ac:dyDescent="0.25"/>
    <row r="647" s="18" customFormat="1" ht="15.75" customHeight="1" x14ac:dyDescent="0.25"/>
    <row r="648" s="18" customFormat="1" ht="15.75" customHeight="1" x14ac:dyDescent="0.25"/>
    <row r="649" s="18" customFormat="1" ht="15.75" customHeight="1" x14ac:dyDescent="0.25"/>
    <row r="650" s="18" customFormat="1" ht="15.75" customHeight="1" x14ac:dyDescent="0.25"/>
    <row r="651" s="18" customFormat="1" ht="15.75" customHeight="1" x14ac:dyDescent="0.25"/>
    <row r="652" s="18" customFormat="1" ht="15.75" customHeight="1" x14ac:dyDescent="0.25"/>
    <row r="653" s="18" customFormat="1" ht="15.75" customHeight="1" x14ac:dyDescent="0.25"/>
    <row r="654" s="18" customFormat="1" ht="15.75" customHeight="1" x14ac:dyDescent="0.25"/>
    <row r="655" s="18" customFormat="1" ht="15.75" customHeight="1" x14ac:dyDescent="0.25"/>
    <row r="656" s="18" customFormat="1" ht="15.75" customHeight="1" x14ac:dyDescent="0.25"/>
    <row r="657" s="18" customFormat="1" ht="15.75" customHeight="1" x14ac:dyDescent="0.25"/>
    <row r="658" s="18" customFormat="1" ht="15.75" customHeight="1" x14ac:dyDescent="0.25"/>
    <row r="659" s="18" customFormat="1" ht="15.75" customHeight="1" x14ac:dyDescent="0.25"/>
    <row r="660" s="18" customFormat="1" ht="15.75" customHeight="1" x14ac:dyDescent="0.25"/>
    <row r="661" s="18" customFormat="1" ht="15.75" customHeight="1" x14ac:dyDescent="0.25"/>
    <row r="662" s="18" customFormat="1" ht="15.75" customHeight="1" x14ac:dyDescent="0.25"/>
    <row r="663" s="18" customFormat="1" ht="15.75" customHeight="1" x14ac:dyDescent="0.25"/>
    <row r="664" s="18" customFormat="1" ht="15.75" customHeight="1" x14ac:dyDescent="0.25"/>
    <row r="665" s="18" customFormat="1" ht="15.75" customHeight="1" x14ac:dyDescent="0.25"/>
    <row r="666" s="18" customFormat="1" ht="15.75" customHeight="1" x14ac:dyDescent="0.25"/>
    <row r="667" s="18" customFormat="1" ht="15.75" customHeight="1" x14ac:dyDescent="0.25"/>
    <row r="668" s="18" customFormat="1" ht="15.75" customHeight="1" x14ac:dyDescent="0.25"/>
    <row r="669" s="18" customFormat="1" ht="15.75" customHeight="1" x14ac:dyDescent="0.25"/>
    <row r="670" s="18" customFormat="1" ht="15.75" customHeight="1" x14ac:dyDescent="0.25"/>
    <row r="671" s="18" customFormat="1" ht="15.75" customHeight="1" x14ac:dyDescent="0.25"/>
    <row r="672" s="18" customFormat="1" ht="15.75" customHeight="1" x14ac:dyDescent="0.25"/>
    <row r="673" s="18" customFormat="1" ht="15.75" customHeight="1" x14ac:dyDescent="0.25"/>
    <row r="674" s="18" customFormat="1" ht="15.75" customHeight="1" x14ac:dyDescent="0.25"/>
    <row r="675" s="18" customFormat="1" ht="15.75" customHeight="1" x14ac:dyDescent="0.25"/>
    <row r="676" s="18" customFormat="1" ht="15.75" customHeight="1" x14ac:dyDescent="0.25"/>
    <row r="677" s="18" customFormat="1" ht="15.75" customHeight="1" x14ac:dyDescent="0.25"/>
    <row r="678" s="18" customFormat="1" ht="15.75" customHeight="1" x14ac:dyDescent="0.25"/>
    <row r="679" s="18" customFormat="1" ht="15.75" customHeight="1" x14ac:dyDescent="0.25"/>
    <row r="680" s="18" customFormat="1" ht="15.75" customHeight="1" x14ac:dyDescent="0.25"/>
    <row r="681" s="18" customFormat="1" ht="15.75" customHeight="1" x14ac:dyDescent="0.25"/>
    <row r="682" s="18" customFormat="1" ht="15.75" customHeight="1" x14ac:dyDescent="0.25"/>
    <row r="683" s="18" customFormat="1" ht="15.75" customHeight="1" x14ac:dyDescent="0.25"/>
    <row r="684" s="18" customFormat="1" ht="15.75" customHeight="1" x14ac:dyDescent="0.25"/>
    <row r="685" s="18" customFormat="1" ht="15.75" customHeight="1" x14ac:dyDescent="0.25"/>
    <row r="686" s="18" customFormat="1" ht="15.75" customHeight="1" x14ac:dyDescent="0.25"/>
    <row r="687" s="18" customFormat="1" ht="15.75" customHeight="1" x14ac:dyDescent="0.25"/>
    <row r="688" s="18" customFormat="1" ht="15.75" customHeight="1" x14ac:dyDescent="0.25"/>
    <row r="689" s="18" customFormat="1" ht="15.75" customHeight="1" x14ac:dyDescent="0.25"/>
    <row r="690" s="18" customFormat="1" ht="15.75" customHeight="1" x14ac:dyDescent="0.25"/>
    <row r="691" s="18" customFormat="1" ht="15.75" customHeight="1" x14ac:dyDescent="0.25"/>
    <row r="692" s="18" customFormat="1" ht="15.75" customHeight="1" x14ac:dyDescent="0.25"/>
    <row r="693" s="18" customFormat="1" ht="15.75" customHeight="1" x14ac:dyDescent="0.25"/>
    <row r="694" s="18" customFormat="1" ht="15.75" customHeight="1" x14ac:dyDescent="0.25"/>
    <row r="695" s="18" customFormat="1" ht="15.75" customHeight="1" x14ac:dyDescent="0.25"/>
    <row r="696" s="18" customFormat="1" ht="15.75" customHeight="1" x14ac:dyDescent="0.25"/>
    <row r="697" s="18" customFormat="1" ht="15.75" customHeight="1" x14ac:dyDescent="0.25"/>
    <row r="698" s="18" customFormat="1" ht="15.75" customHeight="1" x14ac:dyDescent="0.25"/>
    <row r="699" s="18" customFormat="1" ht="15.75" customHeight="1" x14ac:dyDescent="0.25"/>
    <row r="700" s="18" customFormat="1" ht="15.75" customHeight="1" x14ac:dyDescent="0.25"/>
    <row r="701" s="18" customFormat="1" ht="15.75" customHeight="1" x14ac:dyDescent="0.25"/>
    <row r="702" s="18" customFormat="1" ht="15.75" customHeight="1" x14ac:dyDescent="0.25"/>
    <row r="703" s="18" customFormat="1" ht="15.75" customHeight="1" x14ac:dyDescent="0.25"/>
    <row r="704" s="18" customFormat="1" ht="15.75" customHeight="1" x14ac:dyDescent="0.25"/>
    <row r="705" s="18" customFormat="1" ht="15.75" customHeight="1" x14ac:dyDescent="0.25"/>
    <row r="706" s="18" customFormat="1" ht="15.75" customHeight="1" x14ac:dyDescent="0.25"/>
    <row r="707" s="18" customFormat="1" ht="15.75" customHeight="1" x14ac:dyDescent="0.25"/>
    <row r="708" s="18" customFormat="1" ht="15.75" customHeight="1" x14ac:dyDescent="0.25"/>
    <row r="709" s="18" customFormat="1" ht="15.75" customHeight="1" x14ac:dyDescent="0.25"/>
    <row r="710" s="18" customFormat="1" ht="15.75" customHeight="1" x14ac:dyDescent="0.25"/>
    <row r="711" s="18" customFormat="1" ht="15.75" customHeight="1" x14ac:dyDescent="0.25"/>
    <row r="712" s="18" customFormat="1" ht="15.75" customHeight="1" x14ac:dyDescent="0.25"/>
    <row r="713" s="18" customFormat="1" ht="15.75" customHeight="1" x14ac:dyDescent="0.25"/>
    <row r="714" s="18" customFormat="1" ht="15.75" customHeight="1" x14ac:dyDescent="0.25"/>
    <row r="715" s="18" customFormat="1" ht="15.75" customHeight="1" x14ac:dyDescent="0.25"/>
    <row r="716" s="18" customFormat="1" ht="15.75" customHeight="1" x14ac:dyDescent="0.25"/>
    <row r="717" s="18" customFormat="1" ht="15.75" customHeight="1" x14ac:dyDescent="0.25"/>
    <row r="718" s="18" customFormat="1" ht="15.75" customHeight="1" x14ac:dyDescent="0.25"/>
    <row r="719" s="18" customFormat="1" ht="15.75" customHeight="1" x14ac:dyDescent="0.25"/>
    <row r="720" s="18" customFormat="1" ht="15.75" customHeight="1" x14ac:dyDescent="0.25"/>
    <row r="721" s="18" customFormat="1" ht="15.75" customHeight="1" x14ac:dyDescent="0.25"/>
    <row r="722" s="18" customFormat="1" ht="15.75" customHeight="1" x14ac:dyDescent="0.25"/>
    <row r="723" s="18" customFormat="1" ht="15.75" customHeight="1" x14ac:dyDescent="0.25"/>
    <row r="724" s="18" customFormat="1" ht="15.75" customHeight="1" x14ac:dyDescent="0.25"/>
    <row r="725" s="18" customFormat="1" ht="15.75" customHeight="1" x14ac:dyDescent="0.25"/>
    <row r="726" s="18" customFormat="1" ht="15.75" customHeight="1" x14ac:dyDescent="0.25"/>
    <row r="727" s="18" customFormat="1" ht="15.75" customHeight="1" x14ac:dyDescent="0.25"/>
    <row r="728" s="18" customFormat="1" ht="15.75" customHeight="1" x14ac:dyDescent="0.25"/>
    <row r="729" s="18" customFormat="1" ht="15.75" customHeight="1" x14ac:dyDescent="0.25"/>
    <row r="730" s="18" customFormat="1" ht="15.75" customHeight="1" x14ac:dyDescent="0.25"/>
    <row r="731" s="18" customFormat="1" ht="15.75" customHeight="1" x14ac:dyDescent="0.25"/>
    <row r="732" s="18" customFormat="1" ht="15.75" customHeight="1" x14ac:dyDescent="0.25"/>
    <row r="733" s="18" customFormat="1" ht="15.75" customHeight="1" x14ac:dyDescent="0.25"/>
    <row r="734" s="18" customFormat="1" ht="15.75" customHeight="1" x14ac:dyDescent="0.25"/>
    <row r="735" s="18" customFormat="1" ht="15.75" customHeight="1" x14ac:dyDescent="0.25"/>
    <row r="736" s="18" customFormat="1" ht="15.75" customHeight="1" x14ac:dyDescent="0.25"/>
    <row r="737" s="18" customFormat="1" ht="15.75" customHeight="1" x14ac:dyDescent="0.25"/>
    <row r="738" s="18" customFormat="1" ht="15.75" customHeight="1" x14ac:dyDescent="0.25"/>
    <row r="739" s="18" customFormat="1" ht="15.75" customHeight="1" x14ac:dyDescent="0.25"/>
    <row r="740" s="18" customFormat="1" ht="15.75" customHeight="1" x14ac:dyDescent="0.25"/>
    <row r="741" s="18" customFormat="1" ht="15.75" customHeight="1" x14ac:dyDescent="0.25"/>
    <row r="742" s="18" customFormat="1" ht="15.75" customHeight="1" x14ac:dyDescent="0.25"/>
    <row r="743" s="18" customFormat="1" ht="15.75" customHeight="1" x14ac:dyDescent="0.25"/>
    <row r="744" s="18" customFormat="1" ht="15.75" customHeight="1" x14ac:dyDescent="0.25"/>
    <row r="745" s="18" customFormat="1" ht="15.75" customHeight="1" x14ac:dyDescent="0.25"/>
    <row r="746" s="18" customFormat="1" ht="15.75" customHeight="1" x14ac:dyDescent="0.25"/>
    <row r="747" s="18" customFormat="1" ht="15.75" customHeight="1" x14ac:dyDescent="0.25"/>
    <row r="748" s="18" customFormat="1" ht="15.75" customHeight="1" x14ac:dyDescent="0.25"/>
    <row r="749" s="18" customFormat="1" ht="15.75" customHeight="1" x14ac:dyDescent="0.25"/>
    <row r="750" s="18" customFormat="1" ht="15.75" customHeight="1" x14ac:dyDescent="0.25"/>
    <row r="751" s="18" customFormat="1" ht="15.75" customHeight="1" x14ac:dyDescent="0.25"/>
    <row r="752" s="18" customFormat="1" ht="15.75" customHeight="1" x14ac:dyDescent="0.25"/>
    <row r="753" s="18" customFormat="1" ht="15.75" customHeight="1" x14ac:dyDescent="0.25"/>
    <row r="754" s="18" customFormat="1" ht="15.75" customHeight="1" x14ac:dyDescent="0.25"/>
    <row r="755" s="18" customFormat="1" ht="15.75" customHeight="1" x14ac:dyDescent="0.25"/>
    <row r="756" s="18" customFormat="1" ht="15.75" customHeight="1" x14ac:dyDescent="0.25"/>
    <row r="757" s="18" customFormat="1" ht="15.75" customHeight="1" x14ac:dyDescent="0.25"/>
    <row r="758" s="18" customFormat="1" ht="15.75" customHeight="1" x14ac:dyDescent="0.25"/>
    <row r="759" s="18" customFormat="1" ht="15.75" customHeight="1" x14ac:dyDescent="0.25"/>
    <row r="760" s="18" customFormat="1" ht="15.75" customHeight="1" x14ac:dyDescent="0.25"/>
    <row r="761" s="18" customFormat="1" ht="15.75" customHeight="1" x14ac:dyDescent="0.25"/>
    <row r="762" s="18" customFormat="1" ht="15.75" customHeight="1" x14ac:dyDescent="0.25"/>
    <row r="763" s="18" customFormat="1" ht="15.75" customHeight="1" x14ac:dyDescent="0.25"/>
    <row r="764" s="18" customFormat="1" ht="15.75" customHeight="1" x14ac:dyDescent="0.25"/>
    <row r="765" s="18" customFormat="1" ht="15.75" customHeight="1" x14ac:dyDescent="0.25"/>
    <row r="766" s="18" customFormat="1" ht="15.75" customHeight="1" x14ac:dyDescent="0.25"/>
    <row r="767" s="18" customFormat="1" ht="15.75" customHeight="1" x14ac:dyDescent="0.25"/>
    <row r="768" s="18" customFormat="1" ht="15.75" customHeight="1" x14ac:dyDescent="0.25"/>
    <row r="769" s="18" customFormat="1" ht="15.75" customHeight="1" x14ac:dyDescent="0.25"/>
    <row r="770" s="18" customFormat="1" ht="15.75" customHeight="1" x14ac:dyDescent="0.25"/>
    <row r="771" s="18" customFormat="1" ht="15.75" customHeight="1" x14ac:dyDescent="0.25"/>
    <row r="772" s="18" customFormat="1" ht="15.75" customHeight="1" x14ac:dyDescent="0.25"/>
    <row r="773" s="18" customFormat="1" ht="15.75" customHeight="1" x14ac:dyDescent="0.25"/>
    <row r="774" s="18" customFormat="1" ht="15.75" customHeight="1" x14ac:dyDescent="0.25"/>
    <row r="775" s="18" customFormat="1" ht="15.75" customHeight="1" x14ac:dyDescent="0.25"/>
    <row r="776" s="18" customFormat="1" ht="15.75" customHeight="1" x14ac:dyDescent="0.25"/>
    <row r="777" s="18" customFormat="1" ht="15.75" customHeight="1" x14ac:dyDescent="0.25"/>
    <row r="778" s="18" customFormat="1" ht="15.75" customHeight="1" x14ac:dyDescent="0.25"/>
    <row r="779" s="18" customFormat="1" ht="15.75" customHeight="1" x14ac:dyDescent="0.25"/>
    <row r="780" s="18" customFormat="1" ht="15.75" customHeight="1" x14ac:dyDescent="0.25"/>
    <row r="781" s="18" customFormat="1" ht="15.75" customHeight="1" x14ac:dyDescent="0.25"/>
    <row r="782" s="18" customFormat="1" ht="15.75" customHeight="1" x14ac:dyDescent="0.25"/>
    <row r="783" s="18" customFormat="1" ht="15.75" customHeight="1" x14ac:dyDescent="0.25"/>
    <row r="784" s="18" customFormat="1" ht="15.75" customHeight="1" x14ac:dyDescent="0.25"/>
    <row r="785" s="18" customFormat="1" ht="15.75" customHeight="1" x14ac:dyDescent="0.25"/>
    <row r="786" s="18" customFormat="1" ht="15.75" customHeight="1" x14ac:dyDescent="0.25"/>
    <row r="787" s="18" customFormat="1" ht="15.75" customHeight="1" x14ac:dyDescent="0.25"/>
    <row r="788" s="18" customFormat="1" ht="15.75" customHeight="1" x14ac:dyDescent="0.25"/>
    <row r="789" s="18" customFormat="1" ht="15.75" customHeight="1" x14ac:dyDescent="0.25"/>
    <row r="790" s="18" customFormat="1" ht="15.75" customHeight="1" x14ac:dyDescent="0.25"/>
    <row r="791" s="18" customFormat="1" ht="15.75" customHeight="1" x14ac:dyDescent="0.25"/>
    <row r="792" s="18" customFormat="1" ht="15.75" customHeight="1" x14ac:dyDescent="0.25"/>
    <row r="793" s="18" customFormat="1" ht="15.75" customHeight="1" x14ac:dyDescent="0.25"/>
    <row r="794" s="18" customFormat="1" ht="15.75" customHeight="1" x14ac:dyDescent="0.25"/>
    <row r="795" s="18" customFormat="1" ht="15.75" customHeight="1" x14ac:dyDescent="0.25"/>
    <row r="796" s="18" customFormat="1" ht="15.75" customHeight="1" x14ac:dyDescent="0.25"/>
    <row r="797" s="18" customFormat="1" ht="15.75" customHeight="1" x14ac:dyDescent="0.25"/>
    <row r="798" s="18" customFormat="1" ht="15.75" customHeight="1" x14ac:dyDescent="0.25"/>
    <row r="799" s="18" customFormat="1" ht="15.75" customHeight="1" x14ac:dyDescent="0.25"/>
    <row r="800" s="18" customFormat="1" ht="15.75" customHeight="1" x14ac:dyDescent="0.25"/>
    <row r="801" s="18" customFormat="1" ht="15.75" customHeight="1" x14ac:dyDescent="0.25"/>
    <row r="802" s="18" customFormat="1" ht="15.75" customHeight="1" x14ac:dyDescent="0.25"/>
    <row r="803" s="18" customFormat="1" ht="15.75" customHeight="1" x14ac:dyDescent="0.25"/>
    <row r="804" s="18" customFormat="1" ht="15.75" customHeight="1" x14ac:dyDescent="0.25"/>
    <row r="805" s="18" customFormat="1" ht="15.75" customHeight="1" x14ac:dyDescent="0.25"/>
    <row r="806" s="18" customFormat="1" ht="15.75" customHeight="1" x14ac:dyDescent="0.25"/>
    <row r="807" s="18" customFormat="1" ht="15.75" customHeight="1" x14ac:dyDescent="0.25"/>
    <row r="808" s="18" customFormat="1" ht="15.75" customHeight="1" x14ac:dyDescent="0.25"/>
    <row r="809" s="18" customFormat="1" ht="15.75" customHeight="1" x14ac:dyDescent="0.25"/>
    <row r="810" s="18" customFormat="1" ht="15.75" customHeight="1" x14ac:dyDescent="0.25"/>
    <row r="811" s="18" customFormat="1" ht="15.75" customHeight="1" x14ac:dyDescent="0.25"/>
    <row r="812" s="18" customFormat="1" ht="15.75" customHeight="1" x14ac:dyDescent="0.25"/>
    <row r="813" s="18" customFormat="1" ht="15.75" customHeight="1" x14ac:dyDescent="0.25"/>
    <row r="814" s="18" customFormat="1" ht="15.75" customHeight="1" x14ac:dyDescent="0.25"/>
    <row r="815" s="18" customFormat="1" ht="15.75" customHeight="1" x14ac:dyDescent="0.25"/>
    <row r="816" s="18" customFormat="1" ht="15.75" customHeight="1" x14ac:dyDescent="0.25"/>
    <row r="817" s="18" customFormat="1" ht="15.75" customHeight="1" x14ac:dyDescent="0.25"/>
    <row r="818" s="18" customFormat="1" ht="15.75" customHeight="1" x14ac:dyDescent="0.25"/>
    <row r="819" s="18" customFormat="1" ht="15.75" customHeight="1" x14ac:dyDescent="0.25"/>
    <row r="820" s="18" customFormat="1" ht="15.75" customHeight="1" x14ac:dyDescent="0.25"/>
    <row r="821" s="18" customFormat="1" ht="15.75" customHeight="1" x14ac:dyDescent="0.25"/>
    <row r="822" s="18" customFormat="1" ht="15.75" customHeight="1" x14ac:dyDescent="0.25"/>
    <row r="823" s="18" customFormat="1" ht="15.75" customHeight="1" x14ac:dyDescent="0.25"/>
    <row r="824" s="18" customFormat="1" ht="15.75" customHeight="1" x14ac:dyDescent="0.25"/>
    <row r="825" s="18" customFormat="1" ht="15.75" customHeight="1" x14ac:dyDescent="0.25"/>
    <row r="826" s="18" customFormat="1" ht="15.75" customHeight="1" x14ac:dyDescent="0.25"/>
    <row r="827" s="18" customFormat="1" ht="15.75" customHeight="1" x14ac:dyDescent="0.25"/>
    <row r="828" s="18" customFormat="1" ht="15.75" customHeight="1" x14ac:dyDescent="0.25"/>
    <row r="829" s="18" customFormat="1" ht="15.75" customHeight="1" x14ac:dyDescent="0.25"/>
    <row r="830" s="18" customFormat="1" ht="15.75" customHeight="1" x14ac:dyDescent="0.25"/>
    <row r="831" s="18" customFormat="1" ht="15.75" customHeight="1" x14ac:dyDescent="0.25"/>
    <row r="832" s="18" customFormat="1" ht="15.75" customHeight="1" x14ac:dyDescent="0.25"/>
    <row r="833" s="18" customFormat="1" ht="15.75" customHeight="1" x14ac:dyDescent="0.25"/>
    <row r="834" s="18" customFormat="1" ht="15.75" customHeight="1" x14ac:dyDescent="0.25"/>
    <row r="835" s="18" customFormat="1" ht="15.75" customHeight="1" x14ac:dyDescent="0.25"/>
    <row r="836" s="18" customFormat="1" ht="15.75" customHeight="1" x14ac:dyDescent="0.25"/>
    <row r="837" s="18" customFormat="1" ht="15.75" customHeight="1" x14ac:dyDescent="0.25"/>
    <row r="838" s="18" customFormat="1" ht="15.75" customHeight="1" x14ac:dyDescent="0.25"/>
    <row r="839" s="18" customFormat="1" ht="15.75" customHeight="1" x14ac:dyDescent="0.25"/>
    <row r="840" s="18" customFormat="1" ht="15.75" customHeight="1" x14ac:dyDescent="0.25"/>
    <row r="841" s="18" customFormat="1" ht="15.75" customHeight="1" x14ac:dyDescent="0.25"/>
    <row r="842" s="18" customFormat="1" ht="15.75" customHeight="1" x14ac:dyDescent="0.25"/>
    <row r="843" s="18" customFormat="1" ht="15.75" customHeight="1" x14ac:dyDescent="0.25"/>
    <row r="844" s="18" customFormat="1" ht="15.75" customHeight="1" x14ac:dyDescent="0.25"/>
    <row r="845" s="18" customFormat="1" ht="15.75" customHeight="1" x14ac:dyDescent="0.25"/>
    <row r="846" s="18" customFormat="1" ht="15.75" customHeight="1" x14ac:dyDescent="0.25"/>
    <row r="847" s="18" customFormat="1" ht="15.75" customHeight="1" x14ac:dyDescent="0.25"/>
    <row r="848" s="18" customFormat="1" ht="15.75" customHeight="1" x14ac:dyDescent="0.25"/>
    <row r="849" s="18" customFormat="1" ht="15.75" customHeight="1" x14ac:dyDescent="0.25"/>
    <row r="850" s="18" customFormat="1" ht="15.75" customHeight="1" x14ac:dyDescent="0.25"/>
    <row r="851" s="18" customFormat="1" ht="15.75" customHeight="1" x14ac:dyDescent="0.25"/>
    <row r="852" s="18" customFormat="1" ht="15.75" customHeight="1" x14ac:dyDescent="0.25"/>
    <row r="853" s="18" customFormat="1" ht="15.75" customHeight="1" x14ac:dyDescent="0.25"/>
    <row r="854" s="18" customFormat="1" ht="15.75" customHeight="1" x14ac:dyDescent="0.25"/>
    <row r="855" s="18" customFormat="1" ht="15.75" customHeight="1" x14ac:dyDescent="0.25"/>
    <row r="856" s="18" customFormat="1" ht="15.75" customHeight="1" x14ac:dyDescent="0.25"/>
    <row r="857" s="18" customFormat="1" ht="15.75" customHeight="1" x14ac:dyDescent="0.25"/>
    <row r="858" s="18" customFormat="1" ht="15.75" customHeight="1" x14ac:dyDescent="0.25"/>
    <row r="859" s="18" customFormat="1" ht="15.75" customHeight="1" x14ac:dyDescent="0.25"/>
    <row r="860" s="18" customFormat="1" ht="15.75" customHeight="1" x14ac:dyDescent="0.25"/>
    <row r="861" s="18" customFormat="1" ht="15.75" customHeight="1" x14ac:dyDescent="0.25"/>
    <row r="862" s="18" customFormat="1" ht="15.75" customHeight="1" x14ac:dyDescent="0.25"/>
    <row r="863" s="18" customFormat="1" ht="15.75" customHeight="1" x14ac:dyDescent="0.25"/>
    <row r="864" s="18" customFormat="1" ht="15.75" customHeight="1" x14ac:dyDescent="0.25"/>
    <row r="865" s="18" customFormat="1" ht="15.75" customHeight="1" x14ac:dyDescent="0.25"/>
    <row r="866" s="18" customFormat="1" ht="15.75" customHeight="1" x14ac:dyDescent="0.25"/>
    <row r="867" s="18" customFormat="1" ht="15.75" customHeight="1" x14ac:dyDescent="0.25"/>
    <row r="868" s="18" customFormat="1" ht="15.75" customHeight="1" x14ac:dyDescent="0.25"/>
    <row r="869" s="18" customFormat="1" ht="15.75" customHeight="1" x14ac:dyDescent="0.25"/>
    <row r="870" s="18" customFormat="1" ht="15.75" customHeight="1" x14ac:dyDescent="0.25"/>
    <row r="871" s="18" customFormat="1" ht="15.75" customHeight="1" x14ac:dyDescent="0.25"/>
    <row r="872" s="18" customFormat="1" ht="15.75" customHeight="1" x14ac:dyDescent="0.25"/>
    <row r="873" s="18" customFormat="1" ht="15.75" customHeight="1" x14ac:dyDescent="0.25"/>
    <row r="874" s="18" customFormat="1" ht="15.75" customHeight="1" x14ac:dyDescent="0.25"/>
    <row r="875" s="18" customFormat="1" ht="15.75" customHeight="1" x14ac:dyDescent="0.25"/>
    <row r="876" s="18" customFormat="1" ht="15.75" customHeight="1" x14ac:dyDescent="0.25"/>
    <row r="877" s="18" customFormat="1" ht="15.75" customHeight="1" x14ac:dyDescent="0.25"/>
    <row r="878" s="18" customFormat="1" ht="15.75" customHeight="1" x14ac:dyDescent="0.25"/>
    <row r="879" s="18" customFormat="1" ht="15.75" customHeight="1" x14ac:dyDescent="0.25"/>
    <row r="880" s="18" customFormat="1" ht="15.75" customHeight="1" x14ac:dyDescent="0.25"/>
    <row r="881" s="18" customFormat="1" ht="15.75" customHeight="1" x14ac:dyDescent="0.25"/>
    <row r="882" s="18" customFormat="1" ht="15.75" customHeight="1" x14ac:dyDescent="0.25"/>
    <row r="883" s="18" customFormat="1" ht="15.75" customHeight="1" x14ac:dyDescent="0.25"/>
    <row r="884" s="18" customFormat="1" ht="15.75" customHeight="1" x14ac:dyDescent="0.25"/>
    <row r="885" s="18" customFormat="1" ht="15.75" customHeight="1" x14ac:dyDescent="0.25"/>
    <row r="886" s="18" customFormat="1" ht="15.75" customHeight="1" x14ac:dyDescent="0.25"/>
    <row r="887" s="18" customFormat="1" ht="15.75" customHeight="1" x14ac:dyDescent="0.25"/>
    <row r="888" s="18" customFormat="1" ht="15.75" customHeight="1" x14ac:dyDescent="0.25"/>
    <row r="889" s="18" customFormat="1" ht="15.75" customHeight="1" x14ac:dyDescent="0.25"/>
    <row r="890" s="18" customFormat="1" ht="15.75" customHeight="1" x14ac:dyDescent="0.25"/>
    <row r="891" s="18" customFormat="1" ht="15.75" customHeight="1" x14ac:dyDescent="0.25"/>
    <row r="892" s="18" customFormat="1" ht="15.75" customHeight="1" x14ac:dyDescent="0.25"/>
    <row r="893" s="18" customFormat="1" ht="15.75" customHeight="1" x14ac:dyDescent="0.25"/>
    <row r="894" s="18" customFormat="1" ht="15.75" customHeight="1" x14ac:dyDescent="0.25"/>
    <row r="895" s="18" customFormat="1" ht="15.75" customHeight="1" x14ac:dyDescent="0.25"/>
    <row r="896" s="18" customFormat="1" ht="15.75" customHeight="1" x14ac:dyDescent="0.25"/>
    <row r="897" s="18" customFormat="1" ht="15.75" customHeight="1" x14ac:dyDescent="0.25"/>
    <row r="898" s="18" customFormat="1" ht="15.75" customHeight="1" x14ac:dyDescent="0.25"/>
    <row r="899" s="18" customFormat="1" ht="15.75" customHeight="1" x14ac:dyDescent="0.25"/>
    <row r="900" s="18" customFormat="1" ht="15.75" customHeight="1" x14ac:dyDescent="0.25"/>
    <row r="901" s="18" customFormat="1" ht="15.75" customHeight="1" x14ac:dyDescent="0.25"/>
    <row r="902" s="18" customFormat="1" ht="15.75" customHeight="1" x14ac:dyDescent="0.25"/>
    <row r="903" s="18" customFormat="1" ht="15.75" customHeight="1" x14ac:dyDescent="0.25"/>
    <row r="904" s="18" customFormat="1" ht="15.75" customHeight="1" x14ac:dyDescent="0.25"/>
    <row r="905" s="18" customFormat="1" ht="15.75" customHeight="1" x14ac:dyDescent="0.25"/>
    <row r="906" s="18" customFormat="1" ht="15.75" customHeight="1" x14ac:dyDescent="0.25"/>
    <row r="907" s="18" customFormat="1" ht="15.75" customHeight="1" x14ac:dyDescent="0.25"/>
    <row r="908" s="18" customFormat="1" ht="15.75" customHeight="1" x14ac:dyDescent="0.25"/>
    <row r="909" s="18" customFormat="1" ht="15.75" customHeight="1" x14ac:dyDescent="0.25"/>
    <row r="910" s="18" customFormat="1" ht="15.75" customHeight="1" x14ac:dyDescent="0.25"/>
    <row r="911" s="18" customFormat="1" ht="15.75" customHeight="1" x14ac:dyDescent="0.25"/>
    <row r="912" s="18" customFormat="1" ht="15.75" customHeight="1" x14ac:dyDescent="0.25"/>
    <row r="913" s="18" customFormat="1" ht="15.75" customHeight="1" x14ac:dyDescent="0.25"/>
    <row r="914" s="18" customFormat="1" ht="15.75" customHeight="1" x14ac:dyDescent="0.25"/>
    <row r="915" s="18" customFormat="1" ht="15.75" customHeight="1" x14ac:dyDescent="0.25"/>
    <row r="916" s="18" customFormat="1" ht="15.75" customHeight="1" x14ac:dyDescent="0.25"/>
    <row r="917" s="18" customFormat="1" ht="15.75" customHeight="1" x14ac:dyDescent="0.25"/>
    <row r="918" s="18" customFormat="1" ht="15.75" customHeight="1" x14ac:dyDescent="0.25"/>
    <row r="919" s="18" customFormat="1" ht="15.75" customHeight="1" x14ac:dyDescent="0.25"/>
    <row r="920" s="18" customFormat="1" ht="15.75" customHeight="1" x14ac:dyDescent="0.25"/>
    <row r="921" s="18" customFormat="1" ht="15.75" customHeight="1" x14ac:dyDescent="0.25"/>
    <row r="922" s="18" customFormat="1" ht="15.75" customHeight="1" x14ac:dyDescent="0.25"/>
    <row r="923" s="18" customFormat="1" ht="15.75" customHeight="1" x14ac:dyDescent="0.25"/>
    <row r="924" s="18" customFormat="1" ht="15.75" customHeight="1" x14ac:dyDescent="0.25"/>
    <row r="925" s="18" customFormat="1" ht="15.75" customHeight="1" x14ac:dyDescent="0.25"/>
    <row r="926" s="18" customFormat="1" ht="15.75" customHeight="1" x14ac:dyDescent="0.25"/>
    <row r="927" s="18" customFormat="1" ht="15.75" customHeight="1" x14ac:dyDescent="0.25"/>
    <row r="928" s="18" customFormat="1" ht="15.75" customHeight="1" x14ac:dyDescent="0.25"/>
    <row r="929" s="18" customFormat="1" ht="15.75" customHeight="1" x14ac:dyDescent="0.25"/>
    <row r="930" s="18" customFormat="1" ht="15.75" customHeight="1" x14ac:dyDescent="0.25"/>
    <row r="931" s="18" customFormat="1" ht="15.75" customHeight="1" x14ac:dyDescent="0.25"/>
    <row r="932" s="18" customFormat="1" ht="15.75" customHeight="1" x14ac:dyDescent="0.25"/>
    <row r="933" s="18" customFormat="1" ht="15.75" customHeight="1" x14ac:dyDescent="0.25"/>
    <row r="934" s="18" customFormat="1" ht="15.75" customHeight="1" x14ac:dyDescent="0.25"/>
    <row r="935" s="18" customFormat="1" ht="15.75" customHeight="1" x14ac:dyDescent="0.25"/>
    <row r="936" s="18" customFormat="1" ht="15.75" customHeight="1" x14ac:dyDescent="0.25"/>
    <row r="937" s="18" customFormat="1" ht="15.75" customHeight="1" x14ac:dyDescent="0.25"/>
    <row r="938" s="18" customFormat="1" ht="15.75" customHeight="1" x14ac:dyDescent="0.25"/>
    <row r="939" s="18" customFormat="1" ht="15.75" customHeight="1" x14ac:dyDescent="0.25"/>
    <row r="940" s="18" customFormat="1" ht="15.75" customHeight="1" x14ac:dyDescent="0.25"/>
    <row r="941" s="18" customFormat="1" ht="15.75" customHeight="1" x14ac:dyDescent="0.25"/>
    <row r="942" s="18" customFormat="1" ht="15.75" customHeight="1" x14ac:dyDescent="0.25"/>
    <row r="943" s="18" customFormat="1" ht="15.75" customHeight="1" x14ac:dyDescent="0.25"/>
    <row r="944" s="18" customFormat="1" ht="15.75" customHeight="1" x14ac:dyDescent="0.25"/>
    <row r="945" s="18" customFormat="1" ht="15.75" customHeight="1" x14ac:dyDescent="0.25"/>
    <row r="946" s="18" customFormat="1" ht="15.75" customHeight="1" x14ac:dyDescent="0.25"/>
    <row r="947" s="18" customFormat="1" ht="15.75" customHeight="1" x14ac:dyDescent="0.25"/>
    <row r="948" s="18" customFormat="1" ht="15.75" customHeight="1" x14ac:dyDescent="0.25"/>
    <row r="949" s="18" customFormat="1" ht="15.75" customHeight="1" x14ac:dyDescent="0.25"/>
    <row r="950" s="18" customFormat="1" ht="15.75" customHeight="1" x14ac:dyDescent="0.25"/>
    <row r="951" s="18" customFormat="1" ht="15.75" customHeight="1" x14ac:dyDescent="0.25"/>
    <row r="952" s="18" customFormat="1" ht="15.75" customHeight="1" x14ac:dyDescent="0.25"/>
    <row r="953" s="18" customFormat="1" ht="15.75" customHeight="1" x14ac:dyDescent="0.25"/>
    <row r="954" s="18" customFormat="1" ht="15.75" customHeight="1" x14ac:dyDescent="0.25"/>
    <row r="955" s="18" customFormat="1" ht="15.75" customHeight="1" x14ac:dyDescent="0.25"/>
    <row r="956" s="18" customFormat="1" ht="15.75" customHeight="1" x14ac:dyDescent="0.25"/>
    <row r="957" s="18" customFormat="1" ht="15.75" customHeight="1" x14ac:dyDescent="0.25"/>
    <row r="958" s="18" customFormat="1" ht="15.75" customHeight="1" x14ac:dyDescent="0.25"/>
    <row r="959" s="18" customFormat="1" ht="15.75" customHeight="1" x14ac:dyDescent="0.25"/>
    <row r="960" s="18" customFormat="1" ht="15.75" customHeight="1" x14ac:dyDescent="0.25"/>
    <row r="961" s="18" customFormat="1" ht="15.75" customHeight="1" x14ac:dyDescent="0.25"/>
    <row r="962" s="18" customFormat="1" ht="15.75" customHeight="1" x14ac:dyDescent="0.25"/>
    <row r="963" s="18" customFormat="1" ht="15.75" customHeight="1" x14ac:dyDescent="0.25"/>
    <row r="964" s="18" customFormat="1" ht="15.75" customHeight="1" x14ac:dyDescent="0.25"/>
    <row r="965" s="18" customFormat="1" ht="15.75" customHeight="1" x14ac:dyDescent="0.25"/>
    <row r="966" s="18" customFormat="1" ht="15.75" customHeight="1" x14ac:dyDescent="0.25"/>
    <row r="967" s="18" customFormat="1" ht="15.75" customHeight="1" x14ac:dyDescent="0.25"/>
    <row r="968" s="18" customFormat="1" ht="15.75" customHeight="1" x14ac:dyDescent="0.25"/>
    <row r="969" s="18" customFormat="1" ht="15.75" customHeight="1" x14ac:dyDescent="0.25"/>
    <row r="970" s="18" customFormat="1" ht="15.75" customHeight="1" x14ac:dyDescent="0.25"/>
    <row r="971" s="18" customFormat="1" ht="15.75" customHeight="1" x14ac:dyDescent="0.25"/>
    <row r="972" s="18" customFormat="1" ht="15.75" customHeight="1" x14ac:dyDescent="0.25"/>
    <row r="973" s="18" customFormat="1" ht="15.75" customHeight="1" x14ac:dyDescent="0.25"/>
    <row r="974" s="18" customFormat="1" ht="15.75" customHeight="1" x14ac:dyDescent="0.25"/>
    <row r="975" s="18" customFormat="1" ht="15.75" customHeight="1" x14ac:dyDescent="0.25"/>
    <row r="976" s="18" customFormat="1" ht="15.75" customHeight="1" x14ac:dyDescent="0.25"/>
    <row r="977" s="18" customFormat="1" ht="15.75" customHeight="1" x14ac:dyDescent="0.25"/>
    <row r="978" s="18" customFormat="1" ht="15.75" customHeight="1" x14ac:dyDescent="0.25"/>
    <row r="979" s="18" customFormat="1" ht="15.75" customHeight="1" x14ac:dyDescent="0.25"/>
    <row r="980" s="18" customFormat="1" ht="15.75" customHeight="1" x14ac:dyDescent="0.25"/>
    <row r="981" s="18" customFormat="1" ht="15.75" customHeight="1" x14ac:dyDescent="0.25"/>
    <row r="982" s="18" customFormat="1" ht="15.75" customHeight="1" x14ac:dyDescent="0.25"/>
    <row r="983" s="18" customFormat="1" ht="15.75" customHeight="1" x14ac:dyDescent="0.25"/>
    <row r="984" s="18" customFormat="1" ht="15.75" customHeight="1" x14ac:dyDescent="0.25"/>
    <row r="985" s="18" customFormat="1" ht="15.75" customHeight="1" x14ac:dyDescent="0.25"/>
    <row r="986" s="18" customFormat="1" ht="15.75" customHeight="1" x14ac:dyDescent="0.25"/>
    <row r="987" s="18" customFormat="1" ht="15.75" customHeight="1" x14ac:dyDescent="0.25"/>
    <row r="988" s="18" customFormat="1" ht="15.75" customHeight="1" x14ac:dyDescent="0.25"/>
    <row r="989" s="18" customFormat="1" ht="15.75" customHeight="1" x14ac:dyDescent="0.25"/>
    <row r="990" s="18" customFormat="1" ht="15.75" customHeight="1" x14ac:dyDescent="0.25"/>
    <row r="991" s="18" customFormat="1" ht="15.75" customHeight="1" x14ac:dyDescent="0.25"/>
    <row r="992" s="18" customFormat="1" ht="15.75" customHeight="1" x14ac:dyDescent="0.25"/>
    <row r="993" s="18" customFormat="1" ht="15.75" customHeight="1" x14ac:dyDescent="0.25"/>
    <row r="994" s="18" customFormat="1" ht="15.75" customHeight="1" x14ac:dyDescent="0.25"/>
    <row r="995" s="18" customFormat="1" ht="15.75" customHeight="1" x14ac:dyDescent="0.25"/>
    <row r="996" s="18" customFormat="1" ht="15.75" customHeight="1" x14ac:dyDescent="0.25"/>
    <row r="997" s="18" customFormat="1" ht="15.75" customHeight="1" x14ac:dyDescent="0.25"/>
    <row r="998" s="18" customFormat="1" ht="15.75" customHeight="1" x14ac:dyDescent="0.25"/>
    <row r="999" s="18" customFormat="1" ht="15.75" customHeight="1" x14ac:dyDescent="0.25"/>
    <row r="1000" s="18" customFormat="1" ht="15.75" customHeight="1" x14ac:dyDescent="0.25"/>
  </sheetData>
  <mergeCells count="3">
    <mergeCell ref="A2:J2"/>
    <mergeCell ref="H9:J9"/>
    <mergeCell ref="L9:N9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O373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5" x14ac:dyDescent="0.25"/>
  <cols>
    <col min="1" max="1" width="80.7109375" style="1" customWidth="1"/>
  </cols>
  <sheetData>
    <row r="3" spans="1:92" hidden="1" x14ac:dyDescent="0.25">
      <c r="B3" s="14" t="s">
        <v>0</v>
      </c>
      <c r="C3" s="14"/>
      <c r="D3">
        <v>1000</v>
      </c>
      <c r="F3" s="14" t="s">
        <v>0</v>
      </c>
      <c r="G3" s="14"/>
      <c r="H3">
        <v>472</v>
      </c>
      <c r="J3" s="14" t="s">
        <v>0</v>
      </c>
      <c r="K3" s="14"/>
      <c r="L3">
        <v>285</v>
      </c>
      <c r="N3" s="14" t="s">
        <v>0</v>
      </c>
      <c r="O3" s="14"/>
      <c r="P3">
        <v>232</v>
      </c>
      <c r="R3" s="14" t="s">
        <v>0</v>
      </c>
      <c r="S3" s="14"/>
      <c r="T3">
        <v>294</v>
      </c>
      <c r="V3" s="14" t="s">
        <v>0</v>
      </c>
      <c r="W3" s="14"/>
      <c r="X3">
        <v>416</v>
      </c>
      <c r="Z3" s="14" t="s">
        <v>0</v>
      </c>
      <c r="AA3" s="14"/>
      <c r="AB3">
        <v>420</v>
      </c>
      <c r="AD3" s="14" t="s">
        <v>0</v>
      </c>
      <c r="AE3" s="14"/>
      <c r="AF3">
        <v>500</v>
      </c>
      <c r="AH3" s="14" t="s">
        <v>0</v>
      </c>
      <c r="AI3" s="14"/>
      <c r="AJ3">
        <v>500</v>
      </c>
      <c r="AL3" s="14" t="s">
        <v>0</v>
      </c>
      <c r="AM3" s="14"/>
      <c r="AN3">
        <v>169</v>
      </c>
      <c r="AP3" s="14" t="s">
        <v>0</v>
      </c>
      <c r="AQ3" s="14"/>
      <c r="AR3">
        <v>311</v>
      </c>
      <c r="AT3" s="14" t="s">
        <v>0</v>
      </c>
      <c r="AU3" s="14"/>
      <c r="AV3">
        <v>390</v>
      </c>
      <c r="AX3" s="14" t="s">
        <v>0</v>
      </c>
      <c r="AY3" s="14"/>
      <c r="AZ3">
        <v>130</v>
      </c>
      <c r="BB3" s="14" t="s">
        <v>0</v>
      </c>
      <c r="BC3" s="14"/>
      <c r="BD3">
        <v>406</v>
      </c>
      <c r="BF3" s="14" t="s">
        <v>0</v>
      </c>
      <c r="BG3" s="14"/>
      <c r="BH3">
        <v>372</v>
      </c>
      <c r="BJ3" s="14" t="s">
        <v>0</v>
      </c>
      <c r="BK3" s="14"/>
      <c r="BL3">
        <v>222</v>
      </c>
      <c r="BN3" s="14" t="s">
        <v>0</v>
      </c>
      <c r="BO3" s="14"/>
      <c r="BP3">
        <v>380</v>
      </c>
      <c r="BR3" s="14" t="s">
        <v>0</v>
      </c>
      <c r="BS3" s="14"/>
      <c r="BT3">
        <v>370</v>
      </c>
      <c r="BV3" s="14" t="s">
        <v>0</v>
      </c>
      <c r="BW3" s="14"/>
      <c r="BX3">
        <v>250</v>
      </c>
      <c r="BZ3" s="14" t="s">
        <v>0</v>
      </c>
      <c r="CA3" s="14"/>
      <c r="CB3">
        <v>250</v>
      </c>
      <c r="CD3" s="14" t="s">
        <v>0</v>
      </c>
      <c r="CE3" s="14"/>
      <c r="CF3">
        <v>210</v>
      </c>
      <c r="CH3" s="14" t="s">
        <v>0</v>
      </c>
      <c r="CI3" s="14"/>
      <c r="CJ3">
        <v>220</v>
      </c>
      <c r="CL3" s="14" t="s">
        <v>0</v>
      </c>
      <c r="CM3" s="14"/>
      <c r="CN3">
        <v>320</v>
      </c>
    </row>
    <row r="4" spans="1:92" s="53" customFormat="1" ht="63" customHeight="1" x14ac:dyDescent="0.25">
      <c r="A4" s="51" t="s">
        <v>1</v>
      </c>
      <c r="B4" s="52" t="s">
        <v>2238</v>
      </c>
      <c r="C4" s="52"/>
      <c r="D4" s="52"/>
      <c r="F4" s="52" t="s">
        <v>2262</v>
      </c>
      <c r="G4" s="52"/>
      <c r="H4" s="52"/>
      <c r="J4" s="52" t="s">
        <v>2240</v>
      </c>
      <c r="K4" s="52"/>
      <c r="L4" s="52"/>
      <c r="N4" s="52" t="s">
        <v>2261</v>
      </c>
      <c r="O4" s="52"/>
      <c r="P4" s="52"/>
      <c r="R4" s="52" t="s">
        <v>2263</v>
      </c>
      <c r="S4" s="52"/>
      <c r="T4" s="52"/>
      <c r="V4" s="52" t="s">
        <v>2264</v>
      </c>
      <c r="W4" s="52"/>
      <c r="X4" s="52"/>
      <c r="Z4" s="52" t="s">
        <v>2265</v>
      </c>
      <c r="AA4" s="52"/>
      <c r="AB4" s="52"/>
      <c r="AD4" s="54" t="s">
        <v>2245</v>
      </c>
      <c r="AE4" s="55"/>
      <c r="AF4" s="55"/>
      <c r="AH4" s="54" t="s">
        <v>2246</v>
      </c>
      <c r="AI4" s="55"/>
      <c r="AJ4" s="55"/>
      <c r="AL4" s="54" t="s">
        <v>2247</v>
      </c>
      <c r="AM4" s="55"/>
      <c r="AN4" s="55"/>
      <c r="AP4" s="54" t="s">
        <v>2248</v>
      </c>
      <c r="AQ4" s="55"/>
      <c r="AR4" s="55"/>
      <c r="AT4" s="54" t="s">
        <v>2249</v>
      </c>
      <c r="AU4" s="55"/>
      <c r="AV4" s="55"/>
      <c r="AX4" s="54" t="s">
        <v>2250</v>
      </c>
      <c r="AY4" s="55"/>
      <c r="AZ4" s="55"/>
      <c r="BB4" s="54" t="s">
        <v>2251</v>
      </c>
      <c r="BC4" s="55"/>
      <c r="BD4" s="55"/>
      <c r="BF4" s="54" t="s">
        <v>2252</v>
      </c>
      <c r="BG4" s="55"/>
      <c r="BH4" s="55"/>
      <c r="BJ4" s="54" t="s">
        <v>2253</v>
      </c>
      <c r="BK4" s="55"/>
      <c r="BL4" s="55"/>
      <c r="BN4" s="54" t="s">
        <v>2254</v>
      </c>
      <c r="BO4" s="55"/>
      <c r="BP4" s="55"/>
      <c r="BR4" s="54" t="s">
        <v>2255</v>
      </c>
      <c r="BS4" s="55"/>
      <c r="BT4" s="55"/>
      <c r="BV4" s="54" t="s">
        <v>2256</v>
      </c>
      <c r="BW4" s="55"/>
      <c r="BX4" s="55"/>
      <c r="BZ4" s="54" t="s">
        <v>2257</v>
      </c>
      <c r="CA4" s="55"/>
      <c r="CB4" s="55"/>
      <c r="CD4" s="54" t="s">
        <v>2258</v>
      </c>
      <c r="CE4" s="55"/>
      <c r="CF4" s="55"/>
      <c r="CH4" s="54" t="s">
        <v>2259</v>
      </c>
      <c r="CI4" s="55"/>
      <c r="CJ4" s="55"/>
      <c r="CL4" s="54" t="s">
        <v>2260</v>
      </c>
      <c r="CM4" s="55"/>
      <c r="CN4" s="55"/>
    </row>
    <row r="5" spans="1:92" x14ac:dyDescent="0.25">
      <c r="AN5" s="2" t="s">
        <v>5</v>
      </c>
      <c r="AR5" s="2" t="s">
        <v>6</v>
      </c>
      <c r="AV5" s="2" t="s">
        <v>7</v>
      </c>
      <c r="AZ5" s="2" t="s">
        <v>8</v>
      </c>
      <c r="BD5" s="2" t="s">
        <v>5</v>
      </c>
      <c r="BH5" s="2" t="s">
        <v>6</v>
      </c>
      <c r="BL5" s="2" t="s">
        <v>7</v>
      </c>
      <c r="BP5" s="2" t="s">
        <v>5</v>
      </c>
      <c r="BT5" s="2" t="s">
        <v>6</v>
      </c>
      <c r="BX5" s="2" t="s">
        <v>7</v>
      </c>
      <c r="CB5" s="2" t="s">
        <v>5</v>
      </c>
      <c r="CF5" s="2" t="s">
        <v>6</v>
      </c>
      <c r="CJ5" s="2" t="s">
        <v>7</v>
      </c>
      <c r="CN5" s="2" t="s">
        <v>8</v>
      </c>
    </row>
    <row r="6" spans="1:92" s="3" customFormat="1" x14ac:dyDescent="0.25">
      <c r="A6" s="3" t="s">
        <v>9</v>
      </c>
      <c r="D6" s="4" t="s">
        <v>10</v>
      </c>
      <c r="H6" s="4" t="s">
        <v>10</v>
      </c>
      <c r="L6" s="4" t="s">
        <v>10</v>
      </c>
      <c r="P6" s="4" t="s">
        <v>10</v>
      </c>
      <c r="T6" s="4" t="s">
        <v>10</v>
      </c>
      <c r="X6" s="4" t="s">
        <v>10</v>
      </c>
      <c r="AB6" s="4" t="s">
        <v>10</v>
      </c>
      <c r="AF6" s="4" t="s">
        <v>10</v>
      </c>
      <c r="AJ6" s="4" t="s">
        <v>10</v>
      </c>
      <c r="AN6" s="4" t="s">
        <v>10</v>
      </c>
      <c r="AR6" s="4" t="s">
        <v>10</v>
      </c>
      <c r="AV6" s="4" t="s">
        <v>10</v>
      </c>
      <c r="AZ6" s="4" t="s">
        <v>10</v>
      </c>
      <c r="BD6" s="4" t="s">
        <v>10</v>
      </c>
      <c r="BH6" s="4" t="s">
        <v>10</v>
      </c>
      <c r="BL6" s="4" t="s">
        <v>10</v>
      </c>
      <c r="BP6" s="4" t="s">
        <v>10</v>
      </c>
      <c r="BT6" s="4" t="s">
        <v>10</v>
      </c>
      <c r="BX6" s="4" t="s">
        <v>10</v>
      </c>
      <c r="CB6" s="4" t="s">
        <v>10</v>
      </c>
      <c r="CF6" s="4" t="s">
        <v>10</v>
      </c>
      <c r="CJ6" s="4" t="s">
        <v>10</v>
      </c>
      <c r="CN6" s="4" t="s">
        <v>10</v>
      </c>
    </row>
    <row r="7" spans="1:92" x14ac:dyDescent="0.25">
      <c r="A7" s="1" t="s">
        <v>11</v>
      </c>
      <c r="B7">
        <v>1000</v>
      </c>
      <c r="C7" s="5">
        <f>B7/B9</f>
        <v>1</v>
      </c>
      <c r="D7" s="5">
        <f>1000/$D$3</f>
        <v>1</v>
      </c>
      <c r="F7">
        <v>472</v>
      </c>
      <c r="G7" s="5">
        <f>F7/F9</f>
        <v>1</v>
      </c>
      <c r="H7" s="5">
        <f>472/$H$3</f>
        <v>1</v>
      </c>
      <c r="J7">
        <v>285</v>
      </c>
      <c r="K7" s="5">
        <f>J7/J9</f>
        <v>1</v>
      </c>
      <c r="L7" s="5">
        <f>285/$L$3</f>
        <v>1</v>
      </c>
      <c r="N7">
        <v>232</v>
      </c>
      <c r="O7" s="5">
        <f>N7/N9</f>
        <v>1</v>
      </c>
      <c r="P7" s="5">
        <f>232/$P$3</f>
        <v>1</v>
      </c>
      <c r="R7">
        <v>294</v>
      </c>
      <c r="S7" s="5">
        <f>R7/R9</f>
        <v>1</v>
      </c>
      <c r="T7" s="5">
        <f>294/$T$3</f>
        <v>1</v>
      </c>
      <c r="V7">
        <v>416</v>
      </c>
      <c r="W7" s="5">
        <f>V7/V9</f>
        <v>1</v>
      </c>
      <c r="X7" s="5">
        <f>416/$X$3</f>
        <v>1</v>
      </c>
      <c r="Z7">
        <v>420</v>
      </c>
      <c r="AA7" s="5">
        <f>Z7/Z9</f>
        <v>1</v>
      </c>
      <c r="AB7" s="5">
        <f>420/$AB$3</f>
        <v>1</v>
      </c>
      <c r="AD7">
        <v>500</v>
      </c>
      <c r="AE7" s="5">
        <f>AD7/AD9</f>
        <v>1</v>
      </c>
      <c r="AF7" s="5">
        <f>500/$AF$3</f>
        <v>1</v>
      </c>
      <c r="AH7">
        <v>500</v>
      </c>
      <c r="AI7" s="5">
        <f>AH7/AH9</f>
        <v>1</v>
      </c>
      <c r="AJ7" s="5">
        <f>500/$AJ$3</f>
        <v>1</v>
      </c>
      <c r="AL7">
        <v>169</v>
      </c>
      <c r="AM7" s="5">
        <f>AL7/AL9</f>
        <v>1</v>
      </c>
      <c r="AN7" s="5">
        <f>169/$AN$3</f>
        <v>1</v>
      </c>
      <c r="AP7">
        <v>311</v>
      </c>
      <c r="AQ7" s="5">
        <f>AP7/AP9</f>
        <v>1</v>
      </c>
      <c r="AR7" s="5">
        <f>311/$AR$3</f>
        <v>1</v>
      </c>
      <c r="AT7">
        <v>390</v>
      </c>
      <c r="AU7" s="5">
        <f>AT7/AT9</f>
        <v>1</v>
      </c>
      <c r="AV7" s="5">
        <f>390/$AV$3</f>
        <v>1</v>
      </c>
      <c r="AX7">
        <v>130</v>
      </c>
      <c r="AY7" s="5">
        <f>AX7/AX9</f>
        <v>1</v>
      </c>
      <c r="AZ7" s="5">
        <f>130/$AZ$3</f>
        <v>1</v>
      </c>
      <c r="BB7">
        <v>406</v>
      </c>
      <c r="BC7" s="5">
        <f>BB7/BB9</f>
        <v>1</v>
      </c>
      <c r="BD7" s="5">
        <f>406/$BD$3</f>
        <v>1</v>
      </c>
      <c r="BF7">
        <v>372</v>
      </c>
      <c r="BG7" s="5">
        <f>BF7/BF9</f>
        <v>1</v>
      </c>
      <c r="BH7" s="5">
        <f>372/$BH$3</f>
        <v>1</v>
      </c>
      <c r="BJ7">
        <v>222</v>
      </c>
      <c r="BK7" s="5">
        <f>BJ7/BJ9</f>
        <v>1</v>
      </c>
      <c r="BL7" s="5">
        <f>222/$BL$3</f>
        <v>1</v>
      </c>
      <c r="BN7">
        <v>380</v>
      </c>
      <c r="BO7" s="5">
        <f>BN7/BN9</f>
        <v>1</v>
      </c>
      <c r="BP7" s="5">
        <f>380/$BP$3</f>
        <v>1</v>
      </c>
      <c r="BR7">
        <v>370</v>
      </c>
      <c r="BS7" s="5">
        <f>BR7/BR9</f>
        <v>1</v>
      </c>
      <c r="BT7" s="5">
        <f>370/$BT$3</f>
        <v>1</v>
      </c>
      <c r="BV7">
        <v>250</v>
      </c>
      <c r="BW7" s="5">
        <f>BV7/BV9</f>
        <v>1</v>
      </c>
      <c r="BX7" s="5">
        <f>250/$BX$3</f>
        <v>1</v>
      </c>
      <c r="BZ7">
        <v>250</v>
      </c>
      <c r="CA7" s="5">
        <f>BZ7/BZ9</f>
        <v>1</v>
      </c>
      <c r="CB7" s="5">
        <f>250/$CB$3</f>
        <v>1</v>
      </c>
      <c r="CD7">
        <v>210</v>
      </c>
      <c r="CE7" s="5">
        <f>CD7/CD9</f>
        <v>1</v>
      </c>
      <c r="CF7" s="5">
        <f>210/$CF$3</f>
        <v>1</v>
      </c>
      <c r="CH7">
        <v>220</v>
      </c>
      <c r="CI7" s="5">
        <f>CH7/CH9</f>
        <v>1</v>
      </c>
      <c r="CJ7" s="5">
        <f>220/$CJ$3</f>
        <v>1</v>
      </c>
      <c r="CL7">
        <v>320</v>
      </c>
      <c r="CM7" s="5">
        <f>CL7/CL9</f>
        <v>1</v>
      </c>
      <c r="CN7" s="5">
        <f>320/$CN$3</f>
        <v>1</v>
      </c>
    </row>
    <row r="8" spans="1:92" x14ac:dyDescent="0.25">
      <c r="A8" s="1" t="s">
        <v>12</v>
      </c>
      <c r="B8">
        <v>0</v>
      </c>
      <c r="C8" s="5">
        <f>B8/B9</f>
        <v>0</v>
      </c>
      <c r="D8" s="5">
        <f>0/$D$3</f>
        <v>0</v>
      </c>
      <c r="F8">
        <v>0</v>
      </c>
      <c r="G8" s="5">
        <f>F8/F9</f>
        <v>0</v>
      </c>
      <c r="H8" s="5">
        <f>0/$H$3</f>
        <v>0</v>
      </c>
      <c r="J8">
        <v>0</v>
      </c>
      <c r="K8" s="5">
        <f>J8/J9</f>
        <v>0</v>
      </c>
      <c r="L8" s="5">
        <f>0/$L$3</f>
        <v>0</v>
      </c>
      <c r="N8">
        <v>0</v>
      </c>
      <c r="O8" s="5">
        <f>N8/N9</f>
        <v>0</v>
      </c>
      <c r="P8" s="5">
        <f>0/$P$3</f>
        <v>0</v>
      </c>
      <c r="R8">
        <v>0</v>
      </c>
      <c r="S8" s="5">
        <f>R8/R9</f>
        <v>0</v>
      </c>
      <c r="T8" s="5">
        <f>0/$T$3</f>
        <v>0</v>
      </c>
      <c r="V8">
        <v>0</v>
      </c>
      <c r="W8" s="5">
        <f>V8/V9</f>
        <v>0</v>
      </c>
      <c r="X8" s="5">
        <f>0/$X$3</f>
        <v>0</v>
      </c>
      <c r="Z8">
        <v>0</v>
      </c>
      <c r="AA8" s="5">
        <f>Z8/Z9</f>
        <v>0</v>
      </c>
      <c r="AB8" s="5">
        <f>0/$AB$3</f>
        <v>0</v>
      </c>
      <c r="AD8">
        <v>0</v>
      </c>
      <c r="AE8" s="5">
        <f>AD8/AD9</f>
        <v>0</v>
      </c>
      <c r="AF8" s="5">
        <f>0/$AF$3</f>
        <v>0</v>
      </c>
      <c r="AH8">
        <v>0</v>
      </c>
      <c r="AI8" s="5">
        <f>AH8/AH9</f>
        <v>0</v>
      </c>
      <c r="AJ8" s="5">
        <f>0/$AJ$3</f>
        <v>0</v>
      </c>
      <c r="AL8">
        <v>0</v>
      </c>
      <c r="AM8" s="5">
        <f>AL8/AL9</f>
        <v>0</v>
      </c>
      <c r="AN8" s="5">
        <f>0/$AN$3</f>
        <v>0</v>
      </c>
      <c r="AP8">
        <v>0</v>
      </c>
      <c r="AQ8" s="5">
        <f>AP8/AP9</f>
        <v>0</v>
      </c>
      <c r="AR8" s="5">
        <f>0/$AR$3</f>
        <v>0</v>
      </c>
      <c r="AT8">
        <v>0</v>
      </c>
      <c r="AU8" s="5">
        <f>AT8/AT9</f>
        <v>0</v>
      </c>
      <c r="AV8" s="5">
        <f>0/$AV$3</f>
        <v>0</v>
      </c>
      <c r="AX8">
        <v>0</v>
      </c>
      <c r="AY8" s="5">
        <f>AX8/AX9</f>
        <v>0</v>
      </c>
      <c r="AZ8" s="5">
        <f>0/$AZ$3</f>
        <v>0</v>
      </c>
      <c r="BB8">
        <v>0</v>
      </c>
      <c r="BC8" s="5">
        <f>BB8/BB9</f>
        <v>0</v>
      </c>
      <c r="BD8" s="5">
        <f>0/$BD$3</f>
        <v>0</v>
      </c>
      <c r="BF8">
        <v>0</v>
      </c>
      <c r="BG8" s="5">
        <f>BF8/BF9</f>
        <v>0</v>
      </c>
      <c r="BH8" s="5">
        <f>0/$BH$3</f>
        <v>0</v>
      </c>
      <c r="BJ8">
        <v>0</v>
      </c>
      <c r="BK8" s="5">
        <f>BJ8/BJ9</f>
        <v>0</v>
      </c>
      <c r="BL8" s="5">
        <f>0/$BL$3</f>
        <v>0</v>
      </c>
      <c r="BN8">
        <v>0</v>
      </c>
      <c r="BO8" s="5">
        <f>BN8/BN9</f>
        <v>0</v>
      </c>
      <c r="BP8" s="5">
        <f>0/$BP$3</f>
        <v>0</v>
      </c>
      <c r="BR8">
        <v>0</v>
      </c>
      <c r="BS8" s="5">
        <f>BR8/BR9</f>
        <v>0</v>
      </c>
      <c r="BT8" s="5">
        <f>0/$BT$3</f>
        <v>0</v>
      </c>
      <c r="BV8">
        <v>0</v>
      </c>
      <c r="BW8" s="5">
        <f>BV8/BV9</f>
        <v>0</v>
      </c>
      <c r="BX8" s="5">
        <f>0/$BX$3</f>
        <v>0</v>
      </c>
      <c r="BZ8">
        <v>0</v>
      </c>
      <c r="CA8" s="5">
        <f>BZ8/BZ9</f>
        <v>0</v>
      </c>
      <c r="CB8" s="5">
        <f>0/$CB$3</f>
        <v>0</v>
      </c>
      <c r="CD8">
        <v>0</v>
      </c>
      <c r="CE8" s="5">
        <f>CD8/CD9</f>
        <v>0</v>
      </c>
      <c r="CF8" s="5">
        <f>0/$CF$3</f>
        <v>0</v>
      </c>
      <c r="CH8">
        <v>0</v>
      </c>
      <c r="CI8" s="5">
        <f>CH8/CH9</f>
        <v>0</v>
      </c>
      <c r="CJ8" s="5">
        <f>0/$CJ$3</f>
        <v>0</v>
      </c>
      <c r="CL8">
        <v>0</v>
      </c>
      <c r="CM8" s="5">
        <f>CL8/CL9</f>
        <v>0</v>
      </c>
      <c r="CN8" s="5">
        <f>0/$CN$3</f>
        <v>0</v>
      </c>
    </row>
    <row r="9" spans="1:92" s="6" customFormat="1" x14ac:dyDescent="0.25">
      <c r="A9" s="7" t="s">
        <v>13</v>
      </c>
      <c r="B9" s="6">
        <v>1000</v>
      </c>
      <c r="F9" s="6">
        <v>472</v>
      </c>
      <c r="J9" s="6">
        <v>285</v>
      </c>
      <c r="N9" s="6">
        <v>232</v>
      </c>
      <c r="R9" s="6">
        <v>294</v>
      </c>
      <c r="V9" s="6">
        <v>416</v>
      </c>
      <c r="Z9" s="6">
        <v>420</v>
      </c>
      <c r="AD9" s="6">
        <v>500</v>
      </c>
      <c r="AH9" s="6">
        <v>500</v>
      </c>
      <c r="AL9" s="6">
        <v>169</v>
      </c>
      <c r="AP9" s="6">
        <v>311</v>
      </c>
      <c r="AT9" s="6">
        <v>390</v>
      </c>
      <c r="AX9" s="6">
        <v>130</v>
      </c>
      <c r="BB9" s="6">
        <v>406</v>
      </c>
      <c r="BF9" s="6">
        <v>372</v>
      </c>
      <c r="BJ9" s="6">
        <v>222</v>
      </c>
      <c r="BN9" s="6">
        <v>380</v>
      </c>
      <c r="BR9" s="6">
        <v>370</v>
      </c>
      <c r="BV9" s="6">
        <v>250</v>
      </c>
      <c r="BZ9" s="6">
        <v>250</v>
      </c>
      <c r="CD9" s="6">
        <v>210</v>
      </c>
      <c r="CH9" s="6">
        <v>220</v>
      </c>
      <c r="CL9" s="6">
        <v>320</v>
      </c>
    </row>
    <row r="10" spans="1:92" hidden="1" x14ac:dyDescent="0.25">
      <c r="A10" s="8" t="s">
        <v>14</v>
      </c>
      <c r="B10">
        <v>0</v>
      </c>
      <c r="F10">
        <v>0</v>
      </c>
      <c r="J10">
        <v>0</v>
      </c>
      <c r="N10">
        <v>0</v>
      </c>
      <c r="R10">
        <v>0</v>
      </c>
      <c r="V10">
        <v>0</v>
      </c>
      <c r="Z10">
        <v>0</v>
      </c>
      <c r="AD10">
        <v>0</v>
      </c>
      <c r="AH10">
        <v>0</v>
      </c>
      <c r="AL10">
        <v>0</v>
      </c>
      <c r="AP10">
        <v>0</v>
      </c>
      <c r="AT10">
        <v>0</v>
      </c>
      <c r="AX10">
        <v>0</v>
      </c>
      <c r="BB10">
        <v>0</v>
      </c>
      <c r="BF10">
        <v>0</v>
      </c>
      <c r="BJ10">
        <v>0</v>
      </c>
      <c r="BN10">
        <v>0</v>
      </c>
      <c r="BR10">
        <v>0</v>
      </c>
      <c r="BV10">
        <v>0</v>
      </c>
      <c r="BZ10">
        <v>0</v>
      </c>
      <c r="CD10">
        <v>0</v>
      </c>
      <c r="CH10">
        <v>0</v>
      </c>
      <c r="CL10">
        <v>0</v>
      </c>
    </row>
    <row r="11" spans="1:92" hidden="1" x14ac:dyDescent="0.25">
      <c r="A11" s="8" t="s">
        <v>15</v>
      </c>
      <c r="B11">
        <v>0</v>
      </c>
      <c r="F11">
        <v>0</v>
      </c>
      <c r="J11">
        <v>0</v>
      </c>
      <c r="N11">
        <v>0</v>
      </c>
      <c r="R11">
        <v>0</v>
      </c>
      <c r="V11">
        <v>0</v>
      </c>
      <c r="Z11">
        <v>0</v>
      </c>
      <c r="AD11">
        <v>0</v>
      </c>
      <c r="AH11">
        <v>0</v>
      </c>
      <c r="AL11">
        <v>0</v>
      </c>
      <c r="AP11">
        <v>0</v>
      </c>
      <c r="AT11">
        <v>0</v>
      </c>
      <c r="AX11">
        <v>0</v>
      </c>
      <c r="BB11">
        <v>0</v>
      </c>
      <c r="BF11">
        <v>0</v>
      </c>
      <c r="BJ11">
        <v>0</v>
      </c>
      <c r="BN11">
        <v>0</v>
      </c>
      <c r="BR11">
        <v>0</v>
      </c>
      <c r="BV11">
        <v>0</v>
      </c>
      <c r="BZ11">
        <v>0</v>
      </c>
      <c r="CD11">
        <v>0</v>
      </c>
      <c r="CH11">
        <v>0</v>
      </c>
      <c r="CL11">
        <v>0</v>
      </c>
    </row>
    <row r="13" spans="1:92" x14ac:dyDescent="0.25">
      <c r="AN13" s="2" t="s">
        <v>5</v>
      </c>
      <c r="AR13" s="2" t="s">
        <v>6</v>
      </c>
      <c r="AV13" s="2" t="s">
        <v>7</v>
      </c>
      <c r="AZ13" s="2" t="s">
        <v>8</v>
      </c>
      <c r="BD13" s="2" t="s">
        <v>5</v>
      </c>
      <c r="BH13" s="2" t="s">
        <v>6</v>
      </c>
      <c r="BL13" s="2" t="s">
        <v>7</v>
      </c>
      <c r="BP13" s="2" t="s">
        <v>5</v>
      </c>
      <c r="BT13" s="2" t="s">
        <v>6</v>
      </c>
      <c r="BX13" s="2" t="s">
        <v>7</v>
      </c>
      <c r="CB13" s="2" t="s">
        <v>5</v>
      </c>
      <c r="CF13" s="2" t="s">
        <v>6</v>
      </c>
      <c r="CJ13" s="2" t="s">
        <v>7</v>
      </c>
      <c r="CN13" s="2" t="s">
        <v>8</v>
      </c>
    </row>
    <row r="14" spans="1:92" s="3" customFormat="1" x14ac:dyDescent="0.25">
      <c r="A14" s="3" t="s">
        <v>16</v>
      </c>
      <c r="D14" s="4" t="s">
        <v>10</v>
      </c>
      <c r="H14" s="4" t="s">
        <v>10</v>
      </c>
      <c r="L14" s="4" t="s">
        <v>10</v>
      </c>
      <c r="P14" s="4" t="s">
        <v>10</v>
      </c>
      <c r="T14" s="4" t="s">
        <v>10</v>
      </c>
      <c r="X14" s="4" t="s">
        <v>10</v>
      </c>
      <c r="AB14" s="4" t="s">
        <v>10</v>
      </c>
      <c r="AF14" s="4" t="s">
        <v>10</v>
      </c>
      <c r="AJ14" s="4" t="s">
        <v>10</v>
      </c>
      <c r="AN14" s="4" t="s">
        <v>10</v>
      </c>
      <c r="AR14" s="4" t="s">
        <v>10</v>
      </c>
      <c r="AV14" s="4" t="s">
        <v>10</v>
      </c>
      <c r="AZ14" s="4" t="s">
        <v>10</v>
      </c>
      <c r="BD14" s="4" t="s">
        <v>10</v>
      </c>
      <c r="BH14" s="4" t="s">
        <v>10</v>
      </c>
      <c r="BL14" s="4" t="s">
        <v>10</v>
      </c>
      <c r="BP14" s="4" t="s">
        <v>10</v>
      </c>
      <c r="BT14" s="4" t="s">
        <v>10</v>
      </c>
      <c r="BX14" s="4" t="s">
        <v>10</v>
      </c>
      <c r="CB14" s="4" t="s">
        <v>10</v>
      </c>
      <c r="CF14" s="4" t="s">
        <v>10</v>
      </c>
      <c r="CJ14" s="4" t="s">
        <v>10</v>
      </c>
      <c r="CN14" s="4" t="s">
        <v>10</v>
      </c>
    </row>
    <row r="15" spans="1:92" x14ac:dyDescent="0.25">
      <c r="A15" s="1" t="s">
        <v>11</v>
      </c>
      <c r="B15">
        <v>1000</v>
      </c>
      <c r="C15" s="5">
        <f>B15/B17</f>
        <v>1</v>
      </c>
      <c r="D15" s="5">
        <f>1000/$D$3</f>
        <v>1</v>
      </c>
      <c r="F15">
        <v>472</v>
      </c>
      <c r="G15" s="5">
        <f>F15/F17</f>
        <v>1</v>
      </c>
      <c r="H15" s="5">
        <f>472/$H$3</f>
        <v>1</v>
      </c>
      <c r="J15">
        <v>285</v>
      </c>
      <c r="K15" s="5">
        <f>J15/J17</f>
        <v>1</v>
      </c>
      <c r="L15" s="5">
        <f>285/$L$3</f>
        <v>1</v>
      </c>
      <c r="N15">
        <v>232</v>
      </c>
      <c r="O15" s="5">
        <f>N15/N17</f>
        <v>1</v>
      </c>
      <c r="P15" s="5">
        <f>232/$P$3</f>
        <v>1</v>
      </c>
      <c r="R15">
        <v>294</v>
      </c>
      <c r="S15" s="5">
        <f>R15/R17</f>
        <v>1</v>
      </c>
      <c r="T15" s="5">
        <f>294/$T$3</f>
        <v>1</v>
      </c>
      <c r="V15">
        <v>416</v>
      </c>
      <c r="W15" s="5">
        <f>V15/V17</f>
        <v>1</v>
      </c>
      <c r="X15" s="5">
        <f>416/$X$3</f>
        <v>1</v>
      </c>
      <c r="Z15">
        <v>420</v>
      </c>
      <c r="AA15" s="5">
        <f>Z15/Z17</f>
        <v>1</v>
      </c>
      <c r="AB15" s="5">
        <f>420/$AB$3</f>
        <v>1</v>
      </c>
      <c r="AD15">
        <v>500</v>
      </c>
      <c r="AE15" s="5">
        <f>AD15/AD17</f>
        <v>1</v>
      </c>
      <c r="AF15" s="5">
        <f>500/$AF$3</f>
        <v>1</v>
      </c>
      <c r="AH15">
        <v>500</v>
      </c>
      <c r="AI15" s="5">
        <f>AH15/AH17</f>
        <v>1</v>
      </c>
      <c r="AJ15" s="5">
        <f>500/$AJ$3</f>
        <v>1</v>
      </c>
      <c r="AL15">
        <v>169</v>
      </c>
      <c r="AM15" s="5">
        <f>AL15/AL17</f>
        <v>1</v>
      </c>
      <c r="AN15" s="5">
        <f>169/$AN$3</f>
        <v>1</v>
      </c>
      <c r="AP15">
        <v>311</v>
      </c>
      <c r="AQ15" s="5">
        <f>AP15/AP17</f>
        <v>1</v>
      </c>
      <c r="AR15" s="5">
        <f>311/$AR$3</f>
        <v>1</v>
      </c>
      <c r="AT15">
        <v>390</v>
      </c>
      <c r="AU15" s="5">
        <f>AT15/AT17</f>
        <v>1</v>
      </c>
      <c r="AV15" s="5">
        <f>390/$AV$3</f>
        <v>1</v>
      </c>
      <c r="AX15">
        <v>130</v>
      </c>
      <c r="AY15" s="5">
        <f>AX15/AX17</f>
        <v>1</v>
      </c>
      <c r="AZ15" s="5">
        <f>130/$AZ$3</f>
        <v>1</v>
      </c>
      <c r="BB15">
        <v>406</v>
      </c>
      <c r="BC15" s="5">
        <f>BB15/BB17</f>
        <v>1</v>
      </c>
      <c r="BD15" s="5">
        <f>406/$BD$3</f>
        <v>1</v>
      </c>
      <c r="BF15">
        <v>372</v>
      </c>
      <c r="BG15" s="5">
        <f>BF15/BF17</f>
        <v>1</v>
      </c>
      <c r="BH15" s="5">
        <f>372/$BH$3</f>
        <v>1</v>
      </c>
      <c r="BJ15">
        <v>222</v>
      </c>
      <c r="BK15" s="5">
        <f>BJ15/BJ17</f>
        <v>1</v>
      </c>
      <c r="BL15" s="5">
        <f>222/$BL$3</f>
        <v>1</v>
      </c>
      <c r="BN15">
        <v>380</v>
      </c>
      <c r="BO15" s="5">
        <f>BN15/BN17</f>
        <v>1</v>
      </c>
      <c r="BP15" s="5">
        <f>380/$BP$3</f>
        <v>1</v>
      </c>
      <c r="BR15">
        <v>370</v>
      </c>
      <c r="BS15" s="5">
        <f>BR15/BR17</f>
        <v>1</v>
      </c>
      <c r="BT15" s="5">
        <f>370/$BT$3</f>
        <v>1</v>
      </c>
      <c r="BV15">
        <v>250</v>
      </c>
      <c r="BW15" s="5">
        <f>BV15/BV17</f>
        <v>1</v>
      </c>
      <c r="BX15" s="5">
        <f>250/$BX$3</f>
        <v>1</v>
      </c>
      <c r="BZ15">
        <v>250</v>
      </c>
      <c r="CA15" s="5">
        <f>BZ15/BZ17</f>
        <v>1</v>
      </c>
      <c r="CB15" s="5">
        <f>250/$CB$3</f>
        <v>1</v>
      </c>
      <c r="CD15">
        <v>210</v>
      </c>
      <c r="CE15" s="5">
        <f>CD15/CD17</f>
        <v>1</v>
      </c>
      <c r="CF15" s="5">
        <f>210/$CF$3</f>
        <v>1</v>
      </c>
      <c r="CH15">
        <v>220</v>
      </c>
      <c r="CI15" s="5">
        <f>CH15/CH17</f>
        <v>1</v>
      </c>
      <c r="CJ15" s="5">
        <f>220/$CJ$3</f>
        <v>1</v>
      </c>
      <c r="CL15">
        <v>320</v>
      </c>
      <c r="CM15" s="5">
        <f>CL15/CL17</f>
        <v>1</v>
      </c>
      <c r="CN15" s="5">
        <f>320/$CN$3</f>
        <v>1</v>
      </c>
    </row>
    <row r="16" spans="1:92" x14ac:dyDescent="0.25">
      <c r="A16" s="1" t="s">
        <v>12</v>
      </c>
      <c r="B16">
        <v>0</v>
      </c>
      <c r="C16" s="5">
        <f>B16/B17</f>
        <v>0</v>
      </c>
      <c r="D16" s="5">
        <f>0/$D$3</f>
        <v>0</v>
      </c>
      <c r="F16">
        <v>0</v>
      </c>
      <c r="G16" s="5">
        <f>F16/F17</f>
        <v>0</v>
      </c>
      <c r="H16" s="5">
        <f>0/$H$3</f>
        <v>0</v>
      </c>
      <c r="J16">
        <v>0</v>
      </c>
      <c r="K16" s="5">
        <f>J16/J17</f>
        <v>0</v>
      </c>
      <c r="L16" s="5">
        <f>0/$L$3</f>
        <v>0</v>
      </c>
      <c r="N16">
        <v>0</v>
      </c>
      <c r="O16" s="5">
        <f>N16/N17</f>
        <v>0</v>
      </c>
      <c r="P16" s="5">
        <f>0/$P$3</f>
        <v>0</v>
      </c>
      <c r="R16">
        <v>0</v>
      </c>
      <c r="S16" s="5">
        <f>R16/R17</f>
        <v>0</v>
      </c>
      <c r="T16" s="5">
        <f>0/$T$3</f>
        <v>0</v>
      </c>
      <c r="V16">
        <v>0</v>
      </c>
      <c r="W16" s="5">
        <f>V16/V17</f>
        <v>0</v>
      </c>
      <c r="X16" s="5">
        <f>0/$X$3</f>
        <v>0</v>
      </c>
      <c r="Z16">
        <v>0</v>
      </c>
      <c r="AA16" s="5">
        <f>Z16/Z17</f>
        <v>0</v>
      </c>
      <c r="AB16" s="5">
        <f>0/$AB$3</f>
        <v>0</v>
      </c>
      <c r="AD16">
        <v>0</v>
      </c>
      <c r="AE16" s="5">
        <f>AD16/AD17</f>
        <v>0</v>
      </c>
      <c r="AF16" s="5">
        <f>0/$AF$3</f>
        <v>0</v>
      </c>
      <c r="AH16">
        <v>0</v>
      </c>
      <c r="AI16" s="5">
        <f>AH16/AH17</f>
        <v>0</v>
      </c>
      <c r="AJ16" s="5">
        <f>0/$AJ$3</f>
        <v>0</v>
      </c>
      <c r="AL16">
        <v>0</v>
      </c>
      <c r="AM16" s="5">
        <f>AL16/AL17</f>
        <v>0</v>
      </c>
      <c r="AN16" s="5">
        <f>0/$AN$3</f>
        <v>0</v>
      </c>
      <c r="AP16">
        <v>0</v>
      </c>
      <c r="AQ16" s="5">
        <f>AP16/AP17</f>
        <v>0</v>
      </c>
      <c r="AR16" s="5">
        <f>0/$AR$3</f>
        <v>0</v>
      </c>
      <c r="AT16">
        <v>0</v>
      </c>
      <c r="AU16" s="5">
        <f>AT16/AT17</f>
        <v>0</v>
      </c>
      <c r="AV16" s="5">
        <f>0/$AV$3</f>
        <v>0</v>
      </c>
      <c r="AX16">
        <v>0</v>
      </c>
      <c r="AY16" s="5">
        <f>AX16/AX17</f>
        <v>0</v>
      </c>
      <c r="AZ16" s="5">
        <f>0/$AZ$3</f>
        <v>0</v>
      </c>
      <c r="BB16">
        <v>0</v>
      </c>
      <c r="BC16" s="5">
        <f>BB16/BB17</f>
        <v>0</v>
      </c>
      <c r="BD16" s="5">
        <f>0/$BD$3</f>
        <v>0</v>
      </c>
      <c r="BF16">
        <v>0</v>
      </c>
      <c r="BG16" s="5">
        <f>BF16/BF17</f>
        <v>0</v>
      </c>
      <c r="BH16" s="5">
        <f>0/$BH$3</f>
        <v>0</v>
      </c>
      <c r="BJ16">
        <v>0</v>
      </c>
      <c r="BK16" s="5">
        <f>BJ16/BJ17</f>
        <v>0</v>
      </c>
      <c r="BL16" s="5">
        <f>0/$BL$3</f>
        <v>0</v>
      </c>
      <c r="BN16">
        <v>0</v>
      </c>
      <c r="BO16" s="5">
        <f>BN16/BN17</f>
        <v>0</v>
      </c>
      <c r="BP16" s="5">
        <f>0/$BP$3</f>
        <v>0</v>
      </c>
      <c r="BR16">
        <v>0</v>
      </c>
      <c r="BS16" s="5">
        <f>BR16/BR17</f>
        <v>0</v>
      </c>
      <c r="BT16" s="5">
        <f>0/$BT$3</f>
        <v>0</v>
      </c>
      <c r="BV16">
        <v>0</v>
      </c>
      <c r="BW16" s="5">
        <f>BV16/BV17</f>
        <v>0</v>
      </c>
      <c r="BX16" s="5">
        <f>0/$BX$3</f>
        <v>0</v>
      </c>
      <c r="BZ16">
        <v>0</v>
      </c>
      <c r="CA16" s="5">
        <f>BZ16/BZ17</f>
        <v>0</v>
      </c>
      <c r="CB16" s="5">
        <f>0/$CB$3</f>
        <v>0</v>
      </c>
      <c r="CD16">
        <v>0</v>
      </c>
      <c r="CE16" s="5">
        <f>CD16/CD17</f>
        <v>0</v>
      </c>
      <c r="CF16" s="5">
        <f>0/$CF$3</f>
        <v>0</v>
      </c>
      <c r="CH16">
        <v>0</v>
      </c>
      <c r="CI16" s="5">
        <f>CH16/CH17</f>
        <v>0</v>
      </c>
      <c r="CJ16" s="5">
        <f>0/$CJ$3</f>
        <v>0</v>
      </c>
      <c r="CL16">
        <v>0</v>
      </c>
      <c r="CM16" s="5">
        <f>CL16/CL17</f>
        <v>0</v>
      </c>
      <c r="CN16" s="5">
        <f>0/$CN$3</f>
        <v>0</v>
      </c>
    </row>
    <row r="17" spans="1:93" s="6" customFormat="1" x14ac:dyDescent="0.25">
      <c r="A17" s="7" t="s">
        <v>13</v>
      </c>
      <c r="B17" s="6">
        <v>1000</v>
      </c>
      <c r="F17" s="6">
        <v>472</v>
      </c>
      <c r="J17" s="6">
        <v>285</v>
      </c>
      <c r="N17" s="6">
        <v>232</v>
      </c>
      <c r="R17" s="6">
        <v>294</v>
      </c>
      <c r="V17" s="6">
        <v>416</v>
      </c>
      <c r="Z17" s="6">
        <v>420</v>
      </c>
      <c r="AD17" s="6">
        <v>500</v>
      </c>
      <c r="AH17" s="6">
        <v>500</v>
      </c>
      <c r="AL17" s="6">
        <v>169</v>
      </c>
      <c r="AP17" s="6">
        <v>311</v>
      </c>
      <c r="AT17" s="6">
        <v>390</v>
      </c>
      <c r="AX17" s="6">
        <v>130</v>
      </c>
      <c r="BB17" s="6">
        <v>406</v>
      </c>
      <c r="BF17" s="6">
        <v>372</v>
      </c>
      <c r="BJ17" s="6">
        <v>222</v>
      </c>
      <c r="BN17" s="6">
        <v>380</v>
      </c>
      <c r="BR17" s="6">
        <v>370</v>
      </c>
      <c r="BV17" s="6">
        <v>250</v>
      </c>
      <c r="BZ17" s="6">
        <v>250</v>
      </c>
      <c r="CD17" s="6">
        <v>210</v>
      </c>
      <c r="CH17" s="6">
        <v>220</v>
      </c>
      <c r="CL17" s="6">
        <v>320</v>
      </c>
    </row>
    <row r="18" spans="1:93" hidden="1" x14ac:dyDescent="0.25">
      <c r="A18" s="8" t="s">
        <v>14</v>
      </c>
      <c r="B18">
        <v>0</v>
      </c>
      <c r="F18">
        <v>0</v>
      </c>
      <c r="J18">
        <v>0</v>
      </c>
      <c r="N18">
        <v>0</v>
      </c>
      <c r="R18">
        <v>0</v>
      </c>
      <c r="V18">
        <v>0</v>
      </c>
      <c r="Z18">
        <v>0</v>
      </c>
      <c r="AD18">
        <v>0</v>
      </c>
      <c r="AH18">
        <v>0</v>
      </c>
      <c r="AL18">
        <v>0</v>
      </c>
      <c r="AP18">
        <v>0</v>
      </c>
      <c r="AT18">
        <v>0</v>
      </c>
      <c r="AX18">
        <v>0</v>
      </c>
      <c r="BB18">
        <v>0</v>
      </c>
      <c r="BF18">
        <v>0</v>
      </c>
      <c r="BJ18">
        <v>0</v>
      </c>
      <c r="BN18">
        <v>0</v>
      </c>
      <c r="BR18">
        <v>0</v>
      </c>
      <c r="BV18">
        <v>0</v>
      </c>
      <c r="BZ18">
        <v>0</v>
      </c>
      <c r="CD18">
        <v>0</v>
      </c>
      <c r="CH18">
        <v>0</v>
      </c>
      <c r="CL18">
        <v>0</v>
      </c>
    </row>
    <row r="19" spans="1:93" hidden="1" x14ac:dyDescent="0.25">
      <c r="A19" s="8" t="s">
        <v>15</v>
      </c>
      <c r="B19">
        <v>0</v>
      </c>
      <c r="F19">
        <v>0</v>
      </c>
      <c r="J19">
        <v>0</v>
      </c>
      <c r="N19">
        <v>0</v>
      </c>
      <c r="R19">
        <v>0</v>
      </c>
      <c r="V19">
        <v>0</v>
      </c>
      <c r="Z19">
        <v>0</v>
      </c>
      <c r="AD19">
        <v>0</v>
      </c>
      <c r="AH19">
        <v>0</v>
      </c>
      <c r="AL19">
        <v>0</v>
      </c>
      <c r="AP19">
        <v>0</v>
      </c>
      <c r="AT19">
        <v>0</v>
      </c>
      <c r="AX19">
        <v>0</v>
      </c>
      <c r="BB19">
        <v>0</v>
      </c>
      <c r="BF19">
        <v>0</v>
      </c>
      <c r="BJ19">
        <v>0</v>
      </c>
      <c r="BN19">
        <v>0</v>
      </c>
      <c r="BR19">
        <v>0</v>
      </c>
      <c r="BV19">
        <v>0</v>
      </c>
      <c r="BZ19">
        <v>0</v>
      </c>
      <c r="CD19">
        <v>0</v>
      </c>
      <c r="CH19">
        <v>0</v>
      </c>
      <c r="CL19">
        <v>0</v>
      </c>
    </row>
    <row r="21" spans="1:93" x14ac:dyDescent="0.25">
      <c r="AN21" s="2" t="s">
        <v>5</v>
      </c>
      <c r="AR21" s="2" t="s">
        <v>6</v>
      </c>
      <c r="AV21" s="2" t="s">
        <v>7</v>
      </c>
      <c r="AZ21" s="2" t="s">
        <v>8</v>
      </c>
      <c r="BD21" s="2" t="s">
        <v>5</v>
      </c>
      <c r="BH21" s="2" t="s">
        <v>6</v>
      </c>
      <c r="BL21" s="2" t="s">
        <v>7</v>
      </c>
      <c r="BP21" s="2" t="s">
        <v>5</v>
      </c>
      <c r="BT21" s="2" t="s">
        <v>6</v>
      </c>
      <c r="BX21" s="2" t="s">
        <v>7</v>
      </c>
      <c r="CB21" s="2" t="s">
        <v>5</v>
      </c>
      <c r="CF21" s="2" t="s">
        <v>6</v>
      </c>
      <c r="CJ21" s="2" t="s">
        <v>7</v>
      </c>
      <c r="CN21" s="2" t="s">
        <v>8</v>
      </c>
    </row>
    <row r="22" spans="1:93" s="3" customFormat="1" x14ac:dyDescent="0.25">
      <c r="A22" s="9" t="str">
        <f>HYPERLINK("#proch_brand!A1","Kterou **značku** si vybavíte, když vidíte tuto osobnost?")</f>
        <v>Kterou **značku** si vybavíte, když vidíte tuto osobnost?</v>
      </c>
      <c r="D22" s="4" t="s">
        <v>10</v>
      </c>
      <c r="H22" s="4" t="s">
        <v>10</v>
      </c>
      <c r="L22" s="4" t="s">
        <v>10</v>
      </c>
      <c r="P22" s="4" t="s">
        <v>10</v>
      </c>
      <c r="T22" s="4" t="s">
        <v>10</v>
      </c>
      <c r="X22" s="4" t="s">
        <v>10</v>
      </c>
      <c r="AB22" s="4" t="s">
        <v>10</v>
      </c>
      <c r="AF22" s="4" t="s">
        <v>10</v>
      </c>
      <c r="AJ22" s="4" t="s">
        <v>10</v>
      </c>
      <c r="AN22" s="4" t="s">
        <v>10</v>
      </c>
      <c r="AR22" s="4" t="s">
        <v>10</v>
      </c>
      <c r="AV22" s="4" t="s">
        <v>10</v>
      </c>
      <c r="AZ22" s="4" t="s">
        <v>10</v>
      </c>
      <c r="BD22" s="4" t="s">
        <v>10</v>
      </c>
      <c r="BH22" s="4" t="s">
        <v>10</v>
      </c>
      <c r="BL22" s="4" t="s">
        <v>10</v>
      </c>
      <c r="BP22" s="4" t="s">
        <v>10</v>
      </c>
      <c r="BT22" s="4" t="s">
        <v>10</v>
      </c>
      <c r="BX22" s="4" t="s">
        <v>10</v>
      </c>
      <c r="CB22" s="4" t="s">
        <v>10</v>
      </c>
      <c r="CF22" s="4" t="s">
        <v>10</v>
      </c>
      <c r="CJ22" s="4" t="s">
        <v>10</v>
      </c>
      <c r="CN22" s="4" t="s">
        <v>10</v>
      </c>
    </row>
    <row r="23" spans="1:93" x14ac:dyDescent="0.25">
      <c r="A23" s="1" t="s">
        <v>200</v>
      </c>
      <c r="B23">
        <v>384</v>
      </c>
      <c r="C23" s="5">
        <f>B23/B25</f>
        <v>0.38400000000000001</v>
      </c>
      <c r="D23" s="5">
        <f>384/$D$3</f>
        <v>0.38400000000000001</v>
      </c>
      <c r="F23">
        <v>213</v>
      </c>
      <c r="G23" s="5">
        <f>F23/F25</f>
        <v>0.45127118644067798</v>
      </c>
      <c r="H23" s="10">
        <f>213/$H$3</f>
        <v>0.45127118644067798</v>
      </c>
      <c r="J23">
        <v>125</v>
      </c>
      <c r="K23" s="5">
        <f>J23/J25</f>
        <v>0.43859649122807015</v>
      </c>
      <c r="L23" s="10">
        <f>125/$L$3</f>
        <v>0.43859649122807015</v>
      </c>
      <c r="N23">
        <v>113</v>
      </c>
      <c r="O23" s="5">
        <f>N23/N25</f>
        <v>0.48706896551724138</v>
      </c>
      <c r="P23" s="10">
        <f>113/$P$3</f>
        <v>0.48706896551724138</v>
      </c>
      <c r="R23">
        <v>171</v>
      </c>
      <c r="S23" s="5">
        <f>R23/R25</f>
        <v>0.58163265306122447</v>
      </c>
      <c r="T23" s="10">
        <f>171/$T$3</f>
        <v>0.58163265306122447</v>
      </c>
      <c r="V23">
        <v>190</v>
      </c>
      <c r="W23" s="5">
        <f>V23/V25</f>
        <v>0.45673076923076922</v>
      </c>
      <c r="X23" s="10">
        <f>190/$X$3</f>
        <v>0.45673076923076922</v>
      </c>
      <c r="Z23">
        <v>200</v>
      </c>
      <c r="AA23" s="5">
        <f>Z23/Z25</f>
        <v>0.47619047619047616</v>
      </c>
      <c r="AB23" s="10">
        <f>200/$AB$3</f>
        <v>0.47619047619047616</v>
      </c>
      <c r="AD23">
        <v>228</v>
      </c>
      <c r="AE23" s="5">
        <f>AD23/AD25</f>
        <v>0.45600000000000002</v>
      </c>
      <c r="AF23" s="10">
        <f>228/$AF$3</f>
        <v>0.45600000000000002</v>
      </c>
      <c r="AH23">
        <v>156</v>
      </c>
      <c r="AI23" s="5">
        <f>AH23/AH25</f>
        <v>0.312</v>
      </c>
      <c r="AJ23" s="11">
        <f>156/$AJ$3</f>
        <v>0.312</v>
      </c>
      <c r="AL23">
        <v>83</v>
      </c>
      <c r="AM23" s="5">
        <f>AL23/AL25</f>
        <v>0.4911242603550296</v>
      </c>
      <c r="AN23" s="10">
        <f>83/$AN$3</f>
        <v>0.4911242603550296</v>
      </c>
      <c r="AO23" s="12"/>
      <c r="AP23">
        <v>136</v>
      </c>
      <c r="AQ23" s="5">
        <f>AP23/AP25</f>
        <v>0.43729903536977494</v>
      </c>
      <c r="AR23" s="10">
        <f>136/$AR$3</f>
        <v>0.43729903536977494</v>
      </c>
      <c r="AS23" s="12"/>
      <c r="AT23">
        <v>132</v>
      </c>
      <c r="AU23" s="5">
        <f>AT23/AT25</f>
        <v>0.33846153846153848</v>
      </c>
      <c r="AV23" s="5">
        <f>132/$AV$3</f>
        <v>0.33846153846153848</v>
      </c>
      <c r="AX23">
        <v>33</v>
      </c>
      <c r="AY23" s="5">
        <f>AX23/AX25</f>
        <v>0.25384615384615383</v>
      </c>
      <c r="AZ23" s="11">
        <f>33/$AZ$3</f>
        <v>0.25384615384615383</v>
      </c>
      <c r="BB23">
        <v>142</v>
      </c>
      <c r="BC23" s="5">
        <f>BB23/BB25</f>
        <v>0.34975369458128081</v>
      </c>
      <c r="BD23" s="5">
        <f>142/$BD$3</f>
        <v>0.34975369458128081</v>
      </c>
      <c r="BF23">
        <v>145</v>
      </c>
      <c r="BG23" s="5">
        <f>BF23/BF25</f>
        <v>0.38978494623655913</v>
      </c>
      <c r="BH23" s="5">
        <f>145/$BH$3</f>
        <v>0.38978494623655913</v>
      </c>
      <c r="BJ23">
        <v>97</v>
      </c>
      <c r="BK23" s="5">
        <f>BJ23/BJ25</f>
        <v>0.43693693693693691</v>
      </c>
      <c r="BL23" s="5">
        <f>97/$BL$3</f>
        <v>0.43693693693693691</v>
      </c>
      <c r="BN23">
        <v>139</v>
      </c>
      <c r="BO23" s="5">
        <f>BN23/BN25</f>
        <v>0.36578947368421055</v>
      </c>
      <c r="BP23" s="5">
        <f>139/$BP$3</f>
        <v>0.36578947368421055</v>
      </c>
      <c r="BR23">
        <v>139</v>
      </c>
      <c r="BS23" s="5">
        <f>BR23/BR25</f>
        <v>0.37567567567567567</v>
      </c>
      <c r="BT23" s="5">
        <f>139/$BT$3</f>
        <v>0.37567567567567567</v>
      </c>
      <c r="BV23">
        <v>106</v>
      </c>
      <c r="BW23" s="5">
        <f>BV23/BV25</f>
        <v>0.42399999999999999</v>
      </c>
      <c r="BX23" s="5">
        <f>106/$BX$3</f>
        <v>0.42399999999999999</v>
      </c>
      <c r="BZ23">
        <v>80</v>
      </c>
      <c r="CA23" s="5">
        <f>BZ23/BZ25</f>
        <v>0.32</v>
      </c>
      <c r="CB23" s="11">
        <f>80/$CB$3</f>
        <v>0.32</v>
      </c>
      <c r="CD23">
        <v>64</v>
      </c>
      <c r="CE23" s="5">
        <f>CD23/CD25</f>
        <v>0.30476190476190479</v>
      </c>
      <c r="CF23" s="11">
        <f>64/$CF$3</f>
        <v>0.30476190476190479</v>
      </c>
      <c r="CH23">
        <v>98</v>
      </c>
      <c r="CI23" s="5">
        <f>CH23/CH25</f>
        <v>0.44545454545454544</v>
      </c>
      <c r="CJ23" s="10">
        <f>98/$CJ$3</f>
        <v>0.44545454545454544</v>
      </c>
      <c r="CK23" s="12"/>
      <c r="CL23">
        <v>142</v>
      </c>
      <c r="CM23" s="5">
        <f>CL23/CL25</f>
        <v>0.44374999999999998</v>
      </c>
      <c r="CN23" s="10">
        <f>142/$CN$3</f>
        <v>0.44374999999999998</v>
      </c>
      <c r="CO23" s="12"/>
    </row>
    <row r="24" spans="1:93" x14ac:dyDescent="0.25">
      <c r="A24" s="1" t="s">
        <v>12</v>
      </c>
      <c r="B24">
        <v>639</v>
      </c>
      <c r="C24" s="5">
        <f>B24/B25</f>
        <v>0.63900000000000001</v>
      </c>
      <c r="D24" s="5">
        <f>639/$D$3</f>
        <v>0.63900000000000001</v>
      </c>
      <c r="F24">
        <v>278</v>
      </c>
      <c r="G24" s="5">
        <f>F24/F25</f>
        <v>0.58898305084745761</v>
      </c>
      <c r="H24" s="11">
        <f>278/$H$3</f>
        <v>0.58898305084745761</v>
      </c>
      <c r="J24">
        <v>173</v>
      </c>
      <c r="K24" s="5">
        <f>J24/J25</f>
        <v>0.60701754385964912</v>
      </c>
      <c r="L24" s="5">
        <f>173/$L$3</f>
        <v>0.60701754385964912</v>
      </c>
      <c r="N24">
        <v>128</v>
      </c>
      <c r="O24" s="5">
        <f>N24/N25</f>
        <v>0.55172413793103448</v>
      </c>
      <c r="P24" s="11">
        <f>128/$P$3</f>
        <v>0.55172413793103448</v>
      </c>
      <c r="R24">
        <v>141</v>
      </c>
      <c r="S24" s="5">
        <f>R24/R25</f>
        <v>0.47959183673469385</v>
      </c>
      <c r="T24" s="11">
        <f>141/$T$3</f>
        <v>0.47959183673469385</v>
      </c>
      <c r="V24">
        <v>245</v>
      </c>
      <c r="W24" s="5">
        <f>V24/V25</f>
        <v>0.58894230769230771</v>
      </c>
      <c r="X24" s="11">
        <f>245/$X$3</f>
        <v>0.58894230769230771</v>
      </c>
      <c r="Z24">
        <v>238</v>
      </c>
      <c r="AA24" s="5">
        <f>Z24/Z25</f>
        <v>0.56666666666666665</v>
      </c>
      <c r="AB24" s="11">
        <f>238/$AB$3</f>
        <v>0.56666666666666665</v>
      </c>
      <c r="AD24">
        <v>291</v>
      </c>
      <c r="AE24" s="5">
        <f>AD24/AD25</f>
        <v>0.58199999999999996</v>
      </c>
      <c r="AF24" s="11">
        <f>291/$AF$3</f>
        <v>0.58199999999999996</v>
      </c>
      <c r="AH24">
        <v>348</v>
      </c>
      <c r="AI24" s="5">
        <f>AH24/AH25</f>
        <v>0.69599999999999995</v>
      </c>
      <c r="AJ24" s="10">
        <f>348/$AJ$3</f>
        <v>0.69599999999999995</v>
      </c>
      <c r="AL24">
        <v>96</v>
      </c>
      <c r="AM24" s="5">
        <f>AL24/AL25</f>
        <v>0.56804733727810652</v>
      </c>
      <c r="AN24" s="11">
        <f>96/$AN$3</f>
        <v>0.56804733727810652</v>
      </c>
      <c r="AP24">
        <v>187</v>
      </c>
      <c r="AQ24" s="5">
        <f>AP24/AP25</f>
        <v>0.6012861736334405</v>
      </c>
      <c r="AR24" s="5">
        <f>187/$AR$3</f>
        <v>0.6012861736334405</v>
      </c>
      <c r="AT24">
        <v>259</v>
      </c>
      <c r="AU24" s="5">
        <f>AT24/AT25</f>
        <v>0.66410256410256407</v>
      </c>
      <c r="AV24" s="5">
        <f>259/$AV$3</f>
        <v>0.66410256410256407</v>
      </c>
      <c r="AX24">
        <v>97</v>
      </c>
      <c r="AY24" s="5">
        <f>AX24/AX25</f>
        <v>0.74615384615384617</v>
      </c>
      <c r="AZ24" s="10">
        <f>97/$AZ$3</f>
        <v>0.74615384615384617</v>
      </c>
      <c r="BA24" s="12"/>
      <c r="BB24">
        <v>270</v>
      </c>
      <c r="BC24" s="5">
        <f>BB24/BB25</f>
        <v>0.66502463054187189</v>
      </c>
      <c r="BD24" s="5">
        <f>270/$BD$3</f>
        <v>0.66502463054187189</v>
      </c>
      <c r="BF24">
        <v>236</v>
      </c>
      <c r="BG24" s="5">
        <f>BF24/BF25</f>
        <v>0.63440860215053763</v>
      </c>
      <c r="BH24" s="5">
        <f>236/$BH$3</f>
        <v>0.63440860215053763</v>
      </c>
      <c r="BJ24">
        <v>133</v>
      </c>
      <c r="BK24" s="5">
        <f>BJ24/BJ25</f>
        <v>0.59909909909909909</v>
      </c>
      <c r="BL24" s="5">
        <f>133/$BL$3</f>
        <v>0.59909909909909909</v>
      </c>
      <c r="BN24">
        <v>248</v>
      </c>
      <c r="BO24" s="5">
        <f>BN24/BN25</f>
        <v>0.65263157894736845</v>
      </c>
      <c r="BP24" s="5">
        <f>248/$BP$3</f>
        <v>0.65263157894736845</v>
      </c>
      <c r="BR24">
        <v>236</v>
      </c>
      <c r="BS24" s="5">
        <f>BR24/BR25</f>
        <v>0.63783783783783787</v>
      </c>
      <c r="BT24" s="5">
        <f>236/$BT$3</f>
        <v>0.63783783783783787</v>
      </c>
      <c r="BV24">
        <v>155</v>
      </c>
      <c r="BW24" s="5">
        <f>BV24/BV25</f>
        <v>0.62</v>
      </c>
      <c r="BX24" s="5">
        <f>155/$BX$3</f>
        <v>0.62</v>
      </c>
      <c r="BZ24">
        <v>175</v>
      </c>
      <c r="CA24" s="5">
        <f>BZ24/BZ25</f>
        <v>0.7</v>
      </c>
      <c r="CB24" s="10">
        <f>175/$CB$3</f>
        <v>0.7</v>
      </c>
      <c r="CC24" s="12"/>
      <c r="CD24">
        <v>149</v>
      </c>
      <c r="CE24" s="5">
        <f>CD24/CD25</f>
        <v>0.70952380952380956</v>
      </c>
      <c r="CF24" s="10">
        <f>149/$CF$3</f>
        <v>0.70952380952380956</v>
      </c>
      <c r="CG24" s="12"/>
      <c r="CH24">
        <v>127</v>
      </c>
      <c r="CI24" s="5">
        <f>CH24/CH25</f>
        <v>0.57727272727272727</v>
      </c>
      <c r="CJ24" s="11">
        <f>127/$CJ$3</f>
        <v>0.57727272727272727</v>
      </c>
      <c r="CL24">
        <v>188</v>
      </c>
      <c r="CM24" s="5">
        <f>CL24/CL25</f>
        <v>0.58750000000000002</v>
      </c>
      <c r="CN24" s="11">
        <f>188/$CN$3</f>
        <v>0.58750000000000002</v>
      </c>
    </row>
    <row r="25" spans="1:93" s="6" customFormat="1" x14ac:dyDescent="0.25">
      <c r="A25" s="7" t="s">
        <v>13</v>
      </c>
      <c r="B25" s="6">
        <v>1000</v>
      </c>
      <c r="F25" s="6">
        <v>472</v>
      </c>
      <c r="J25" s="6">
        <v>285</v>
      </c>
      <c r="N25" s="6">
        <v>232</v>
      </c>
      <c r="R25" s="6">
        <v>294</v>
      </c>
      <c r="V25" s="6">
        <v>416</v>
      </c>
      <c r="Z25" s="6">
        <v>420</v>
      </c>
      <c r="AD25" s="6">
        <v>500</v>
      </c>
      <c r="AH25" s="6">
        <v>500</v>
      </c>
      <c r="AL25" s="6">
        <v>169</v>
      </c>
      <c r="AP25" s="6">
        <v>311</v>
      </c>
      <c r="AT25" s="6">
        <v>390</v>
      </c>
      <c r="AX25" s="6">
        <v>130</v>
      </c>
      <c r="BB25" s="6">
        <v>406</v>
      </c>
      <c r="BF25" s="6">
        <v>372</v>
      </c>
      <c r="BJ25" s="6">
        <v>222</v>
      </c>
      <c r="BN25" s="6">
        <v>380</v>
      </c>
      <c r="BR25" s="6">
        <v>370</v>
      </c>
      <c r="BV25" s="6">
        <v>250</v>
      </c>
      <c r="BZ25" s="6">
        <v>250</v>
      </c>
      <c r="CD25" s="6">
        <v>210</v>
      </c>
      <c r="CH25" s="6">
        <v>220</v>
      </c>
      <c r="CL25" s="6">
        <v>320</v>
      </c>
    </row>
    <row r="26" spans="1:93" hidden="1" x14ac:dyDescent="0.25">
      <c r="A26" s="8" t="s">
        <v>14</v>
      </c>
      <c r="B26">
        <v>0</v>
      </c>
      <c r="F26">
        <v>0</v>
      </c>
      <c r="J26">
        <v>0</v>
      </c>
      <c r="N26">
        <v>0</v>
      </c>
      <c r="R26">
        <v>0</v>
      </c>
      <c r="V26">
        <v>0</v>
      </c>
      <c r="Z26">
        <v>0</v>
      </c>
      <c r="AD26">
        <v>0</v>
      </c>
      <c r="AH26">
        <v>0</v>
      </c>
      <c r="AL26">
        <v>0</v>
      </c>
      <c r="AP26">
        <v>0</v>
      </c>
      <c r="AT26">
        <v>0</v>
      </c>
      <c r="AX26">
        <v>0</v>
      </c>
      <c r="BB26">
        <v>0</v>
      </c>
      <c r="BF26">
        <v>0</v>
      </c>
      <c r="BJ26">
        <v>0</v>
      </c>
      <c r="BN26">
        <v>0</v>
      </c>
      <c r="BR26">
        <v>0</v>
      </c>
      <c r="BV26">
        <v>0</v>
      </c>
      <c r="BZ26">
        <v>0</v>
      </c>
      <c r="CD26">
        <v>0</v>
      </c>
      <c r="CH26">
        <v>0</v>
      </c>
      <c r="CL26">
        <v>0</v>
      </c>
    </row>
    <row r="27" spans="1:93" hidden="1" x14ac:dyDescent="0.25">
      <c r="A27" s="8" t="s">
        <v>15</v>
      </c>
      <c r="B27">
        <v>0</v>
      </c>
      <c r="F27">
        <v>0</v>
      </c>
      <c r="J27">
        <v>0</v>
      </c>
      <c r="N27">
        <v>0</v>
      </c>
      <c r="R27">
        <v>0</v>
      </c>
      <c r="V27">
        <v>0</v>
      </c>
      <c r="Z27">
        <v>0</v>
      </c>
      <c r="AD27">
        <v>0</v>
      </c>
      <c r="AH27">
        <v>0</v>
      </c>
      <c r="AL27">
        <v>0</v>
      </c>
      <c r="AP27">
        <v>0</v>
      </c>
      <c r="AT27">
        <v>0</v>
      </c>
      <c r="AX27">
        <v>0</v>
      </c>
      <c r="BB27">
        <v>0</v>
      </c>
      <c r="BF27">
        <v>0</v>
      </c>
      <c r="BJ27">
        <v>0</v>
      </c>
      <c r="BN27">
        <v>0</v>
      </c>
      <c r="BR27">
        <v>0</v>
      </c>
      <c r="BV27">
        <v>0</v>
      </c>
      <c r="BZ27">
        <v>0</v>
      </c>
      <c r="CD27">
        <v>0</v>
      </c>
      <c r="CH27">
        <v>0</v>
      </c>
      <c r="CL27">
        <v>0</v>
      </c>
    </row>
    <row r="29" spans="1:93" x14ac:dyDescent="0.25">
      <c r="AN29" s="2" t="s">
        <v>5</v>
      </c>
      <c r="AR29" s="2" t="s">
        <v>6</v>
      </c>
      <c r="AV29" s="2" t="s">
        <v>7</v>
      </c>
      <c r="AZ29" s="2" t="s">
        <v>8</v>
      </c>
      <c r="BD29" s="2" t="s">
        <v>5</v>
      </c>
      <c r="BH29" s="2" t="s">
        <v>6</v>
      </c>
      <c r="BL29" s="2" t="s">
        <v>7</v>
      </c>
      <c r="BP29" s="2" t="s">
        <v>5</v>
      </c>
      <c r="BT29" s="2" t="s">
        <v>6</v>
      </c>
      <c r="BX29" s="2" t="s">
        <v>7</v>
      </c>
      <c r="CB29" s="2" t="s">
        <v>5</v>
      </c>
      <c r="CF29" s="2" t="s">
        <v>6</v>
      </c>
      <c r="CJ29" s="2" t="s">
        <v>7</v>
      </c>
      <c r="CN29" s="2" t="s">
        <v>8</v>
      </c>
    </row>
    <row r="30" spans="1:93" s="3" customFormat="1" x14ac:dyDescent="0.25">
      <c r="A30" s="9" t="str">
        <f>HYPERLINK("#proch_emo!A1","Jaký máte pocit z této osobnosti?")</f>
        <v>Jaký máte pocit z této osobnosti?</v>
      </c>
      <c r="D30" s="4" t="s">
        <v>10</v>
      </c>
      <c r="H30" s="4" t="s">
        <v>10</v>
      </c>
      <c r="L30" s="4" t="s">
        <v>10</v>
      </c>
      <c r="P30" s="4" t="s">
        <v>10</v>
      </c>
      <c r="T30" s="4" t="s">
        <v>10</v>
      </c>
      <c r="X30" s="4" t="s">
        <v>10</v>
      </c>
      <c r="AB30" s="4" t="s">
        <v>10</v>
      </c>
      <c r="AF30" s="4" t="s">
        <v>10</v>
      </c>
      <c r="AJ30" s="4" t="s">
        <v>10</v>
      </c>
      <c r="AN30" s="4" t="s">
        <v>10</v>
      </c>
      <c r="AR30" s="4" t="s">
        <v>10</v>
      </c>
      <c r="AV30" s="4" t="s">
        <v>10</v>
      </c>
      <c r="AZ30" s="4" t="s">
        <v>10</v>
      </c>
      <c r="BD30" s="4" t="s">
        <v>10</v>
      </c>
      <c r="BH30" s="4" t="s">
        <v>10</v>
      </c>
      <c r="BL30" s="4" t="s">
        <v>10</v>
      </c>
      <c r="BP30" s="4" t="s">
        <v>10</v>
      </c>
      <c r="BT30" s="4" t="s">
        <v>10</v>
      </c>
      <c r="BX30" s="4" t="s">
        <v>10</v>
      </c>
      <c r="CB30" s="4" t="s">
        <v>10</v>
      </c>
      <c r="CF30" s="4" t="s">
        <v>10</v>
      </c>
      <c r="CJ30" s="4" t="s">
        <v>10</v>
      </c>
      <c r="CN30" s="4" t="s">
        <v>10</v>
      </c>
    </row>
    <row r="31" spans="1:93" x14ac:dyDescent="0.25">
      <c r="A31" s="1" t="s">
        <v>221</v>
      </c>
      <c r="B31">
        <v>90</v>
      </c>
      <c r="C31" s="5">
        <f>B31/B37</f>
        <v>0.09</v>
      </c>
      <c r="D31" s="5">
        <f>90/$D$3</f>
        <v>0.09</v>
      </c>
      <c r="F31">
        <v>53</v>
      </c>
      <c r="G31" s="5">
        <f>F31/F37</f>
        <v>0.11228813559322035</v>
      </c>
      <c r="H31" s="5">
        <f>53/$H$3</f>
        <v>0.11228813559322035</v>
      </c>
      <c r="J31">
        <v>33</v>
      </c>
      <c r="K31" s="5">
        <f>J31/J37</f>
        <v>0.11578947368421053</v>
      </c>
      <c r="L31" s="5">
        <f>33/$L$3</f>
        <v>0.11578947368421053</v>
      </c>
      <c r="N31">
        <v>32</v>
      </c>
      <c r="O31" s="5">
        <f>N31/N37</f>
        <v>0.13793103448275862</v>
      </c>
      <c r="P31" s="5">
        <f>32/$P$3</f>
        <v>0.13793103448275862</v>
      </c>
      <c r="R31">
        <v>50</v>
      </c>
      <c r="S31" s="5">
        <f>R31/R37</f>
        <v>0.17006802721088435</v>
      </c>
      <c r="T31" s="10">
        <f>50/$T$3</f>
        <v>0.17006802721088435</v>
      </c>
      <c r="V31">
        <v>48</v>
      </c>
      <c r="W31" s="5">
        <f>V31/V37</f>
        <v>0.11538461538461539</v>
      </c>
      <c r="X31" s="5">
        <f>48/$X$3</f>
        <v>0.11538461538461539</v>
      </c>
      <c r="Z31">
        <v>51</v>
      </c>
      <c r="AA31" s="5">
        <f>Z31/Z37</f>
        <v>0.12142857142857143</v>
      </c>
      <c r="AB31" s="5">
        <f>51/$AB$3</f>
        <v>0.12142857142857143</v>
      </c>
      <c r="AD31">
        <v>64</v>
      </c>
      <c r="AE31" s="5">
        <f>AD31/AD37</f>
        <v>0.128</v>
      </c>
      <c r="AF31" s="5">
        <f>64/$AF$3</f>
        <v>0.128</v>
      </c>
      <c r="AH31">
        <v>26</v>
      </c>
      <c r="AI31" s="5">
        <f>AH31/AH37</f>
        <v>5.1999999999999998E-2</v>
      </c>
      <c r="AJ31" s="5">
        <f>26/$AJ$3</f>
        <v>5.1999999999999998E-2</v>
      </c>
      <c r="AL31">
        <v>25</v>
      </c>
      <c r="AM31" s="5">
        <f>AL31/AL37</f>
        <v>0.14792899408284024</v>
      </c>
      <c r="AN31" s="10">
        <f>25/$AN$3</f>
        <v>0.14792899408284024</v>
      </c>
      <c r="AO31" s="12"/>
      <c r="AP31">
        <v>39</v>
      </c>
      <c r="AQ31" s="5">
        <f>AP31/AP37</f>
        <v>0.12540192926045016</v>
      </c>
      <c r="AR31" s="5">
        <f>39/$AR$3</f>
        <v>0.12540192926045016</v>
      </c>
      <c r="AS31" s="12"/>
      <c r="AT31">
        <v>23</v>
      </c>
      <c r="AU31" s="5">
        <f>AT31/AT37</f>
        <v>5.8974358974358973E-2</v>
      </c>
      <c r="AV31" s="5">
        <f>23/$AV$3</f>
        <v>5.8974358974358973E-2</v>
      </c>
      <c r="AX31">
        <v>3</v>
      </c>
      <c r="AY31" s="5">
        <f>AX31/AX37</f>
        <v>2.3076923076923078E-2</v>
      </c>
      <c r="AZ31" s="11">
        <f>3/$AZ$3</f>
        <v>2.3076923076923078E-2</v>
      </c>
      <c r="BB31">
        <v>38</v>
      </c>
      <c r="BC31" s="5">
        <f>BB31/BB37</f>
        <v>9.3596059113300489E-2</v>
      </c>
      <c r="BD31" s="5">
        <f>38/$BD$3</f>
        <v>9.3596059113300489E-2</v>
      </c>
      <c r="BF31">
        <v>36</v>
      </c>
      <c r="BG31" s="5">
        <f>BF31/BF37</f>
        <v>9.6774193548387094E-2</v>
      </c>
      <c r="BH31" s="5">
        <f>36/$BH$3</f>
        <v>9.6774193548387094E-2</v>
      </c>
      <c r="BJ31">
        <v>16</v>
      </c>
      <c r="BK31" s="5">
        <f>BJ31/BJ37</f>
        <v>7.2072072072072071E-2</v>
      </c>
      <c r="BL31" s="5">
        <f>16/$BL$3</f>
        <v>7.2072072072072071E-2</v>
      </c>
      <c r="BN31">
        <v>31</v>
      </c>
      <c r="BO31" s="5">
        <f>BN31/BN37</f>
        <v>8.1578947368421056E-2</v>
      </c>
      <c r="BP31" s="5">
        <f>31/$BP$3</f>
        <v>8.1578947368421056E-2</v>
      </c>
      <c r="BR31">
        <v>40</v>
      </c>
      <c r="BS31" s="5">
        <f>BR31/BR37</f>
        <v>0.10810810810810811</v>
      </c>
      <c r="BT31" s="5">
        <f>40/$BT$3</f>
        <v>0.10810810810810811</v>
      </c>
      <c r="BV31">
        <v>19</v>
      </c>
      <c r="BW31" s="5">
        <f>BV31/BV37</f>
        <v>7.5999999999999998E-2</v>
      </c>
      <c r="BX31" s="5">
        <f>19/$BX$3</f>
        <v>7.5999999999999998E-2</v>
      </c>
      <c r="BZ31">
        <v>20</v>
      </c>
      <c r="CA31" s="5">
        <f>BZ31/BZ37</f>
        <v>0.08</v>
      </c>
      <c r="CB31" s="5">
        <f>20/$CB$3</f>
        <v>0.08</v>
      </c>
      <c r="CD31">
        <v>17</v>
      </c>
      <c r="CE31" s="5">
        <f>CD31/CD37</f>
        <v>8.0952380952380956E-2</v>
      </c>
      <c r="CF31" s="5">
        <f>17/$CF$3</f>
        <v>8.0952380952380956E-2</v>
      </c>
      <c r="CH31">
        <v>24</v>
      </c>
      <c r="CI31" s="5">
        <f>CH31/CH37</f>
        <v>0.10909090909090909</v>
      </c>
      <c r="CJ31" s="5">
        <f>24/$CJ$3</f>
        <v>0.10909090909090909</v>
      </c>
      <c r="CL31">
        <v>29</v>
      </c>
      <c r="CM31" s="5">
        <f>CL31/CL37</f>
        <v>9.0624999999999997E-2</v>
      </c>
      <c r="CN31" s="5">
        <f>29/$CN$3</f>
        <v>9.0624999999999997E-2</v>
      </c>
    </row>
    <row r="32" spans="1:93" x14ac:dyDescent="0.25">
      <c r="A32" s="1" t="s">
        <v>201</v>
      </c>
      <c r="B32">
        <v>254</v>
      </c>
      <c r="C32" s="5">
        <f>B32/B37</f>
        <v>0.254</v>
      </c>
      <c r="D32" s="5">
        <f>254/$D$3</f>
        <v>0.254</v>
      </c>
      <c r="F32">
        <v>139</v>
      </c>
      <c r="G32" s="5">
        <f>F32/F37</f>
        <v>0.29449152542372881</v>
      </c>
      <c r="H32" s="5">
        <f>139/$H$3</f>
        <v>0.29449152542372881</v>
      </c>
      <c r="J32">
        <v>89</v>
      </c>
      <c r="K32" s="5">
        <f>J32/J37</f>
        <v>0.31228070175438599</v>
      </c>
      <c r="L32" s="10">
        <f>89/$L$3</f>
        <v>0.31228070175438599</v>
      </c>
      <c r="N32">
        <v>73</v>
      </c>
      <c r="O32" s="5">
        <f>N32/N37</f>
        <v>0.31465517241379309</v>
      </c>
      <c r="P32" s="10">
        <f>73/$P$3</f>
        <v>0.31465517241379309</v>
      </c>
      <c r="R32">
        <v>127</v>
      </c>
      <c r="S32" s="5">
        <f>R32/R37</f>
        <v>0.43197278911564624</v>
      </c>
      <c r="T32" s="10">
        <f>127/$T$3</f>
        <v>0.43197278911564624</v>
      </c>
      <c r="V32">
        <v>129</v>
      </c>
      <c r="W32" s="5">
        <f>V32/V37</f>
        <v>0.31009615384615385</v>
      </c>
      <c r="X32" s="10">
        <f>129/$X$3</f>
        <v>0.31009615384615385</v>
      </c>
      <c r="Z32">
        <v>131</v>
      </c>
      <c r="AA32" s="5">
        <f>Z32/Z37</f>
        <v>0.31190476190476191</v>
      </c>
      <c r="AB32" s="10">
        <f>131/$AB$3</f>
        <v>0.31190476190476191</v>
      </c>
      <c r="AD32">
        <v>138</v>
      </c>
      <c r="AE32" s="5">
        <f>AD32/AD37</f>
        <v>0.27600000000000002</v>
      </c>
      <c r="AF32" s="5">
        <f>138/$AF$3</f>
        <v>0.27600000000000002</v>
      </c>
      <c r="AH32">
        <v>116</v>
      </c>
      <c r="AI32" s="5">
        <f>AH32/AH37</f>
        <v>0.23200000000000001</v>
      </c>
      <c r="AJ32" s="5">
        <f>116/$AJ$3</f>
        <v>0.23200000000000001</v>
      </c>
      <c r="AL32">
        <v>45</v>
      </c>
      <c r="AM32" s="5">
        <f>AL32/AL37</f>
        <v>0.26627218934911245</v>
      </c>
      <c r="AN32" s="5">
        <f>45/$AN$3</f>
        <v>0.26627218934911245</v>
      </c>
      <c r="AP32">
        <v>73</v>
      </c>
      <c r="AQ32" s="5">
        <f>AP32/AP37</f>
        <v>0.2347266881028939</v>
      </c>
      <c r="AR32" s="5">
        <f>73/$AR$3</f>
        <v>0.2347266881028939</v>
      </c>
      <c r="AT32">
        <v>97</v>
      </c>
      <c r="AU32" s="5">
        <f>AT32/AT37</f>
        <v>0.24871794871794872</v>
      </c>
      <c r="AV32" s="5">
        <f>97/$AV$3</f>
        <v>0.24871794871794872</v>
      </c>
      <c r="AX32">
        <v>39</v>
      </c>
      <c r="AY32" s="5">
        <f>AX32/AX37</f>
        <v>0.3</v>
      </c>
      <c r="AZ32" s="5">
        <f>39/$AZ$3</f>
        <v>0.3</v>
      </c>
      <c r="BB32">
        <v>110</v>
      </c>
      <c r="BC32" s="5">
        <f>BB32/BB37</f>
        <v>0.27093596059113301</v>
      </c>
      <c r="BD32" s="5">
        <f>110/$BD$3</f>
        <v>0.27093596059113301</v>
      </c>
      <c r="BF32">
        <v>90</v>
      </c>
      <c r="BG32" s="5">
        <f>BF32/BF37</f>
        <v>0.24193548387096775</v>
      </c>
      <c r="BH32" s="5">
        <f>90/$BH$3</f>
        <v>0.24193548387096775</v>
      </c>
      <c r="BJ32">
        <v>54</v>
      </c>
      <c r="BK32" s="5">
        <f>BJ32/BJ37</f>
        <v>0.24324324324324326</v>
      </c>
      <c r="BL32" s="5">
        <f>54/$BL$3</f>
        <v>0.24324324324324326</v>
      </c>
      <c r="BN32">
        <v>87</v>
      </c>
      <c r="BO32" s="5">
        <f>BN32/BN37</f>
        <v>0.22894736842105262</v>
      </c>
      <c r="BP32" s="5">
        <f>87/$BP$3</f>
        <v>0.22894736842105262</v>
      </c>
      <c r="BR32">
        <v>97</v>
      </c>
      <c r="BS32" s="5">
        <f>BR32/BR37</f>
        <v>0.26216216216216215</v>
      </c>
      <c r="BT32" s="5">
        <f>97/$BT$3</f>
        <v>0.26216216216216215</v>
      </c>
      <c r="BV32">
        <v>70</v>
      </c>
      <c r="BW32" s="5">
        <f>BV32/BV37</f>
        <v>0.28000000000000003</v>
      </c>
      <c r="BX32" s="5">
        <f>70/$BX$3</f>
        <v>0.28000000000000003</v>
      </c>
      <c r="BZ32">
        <v>67</v>
      </c>
      <c r="CA32" s="5">
        <f>BZ32/BZ37</f>
        <v>0.26800000000000002</v>
      </c>
      <c r="CB32" s="5">
        <f>67/$CB$3</f>
        <v>0.26800000000000002</v>
      </c>
      <c r="CD32">
        <v>49</v>
      </c>
      <c r="CE32" s="5">
        <f>CD32/CD37</f>
        <v>0.23333333333333334</v>
      </c>
      <c r="CF32" s="5">
        <f>49/$CF$3</f>
        <v>0.23333333333333334</v>
      </c>
      <c r="CH32">
        <v>58</v>
      </c>
      <c r="CI32" s="5">
        <f>CH32/CH37</f>
        <v>0.26363636363636361</v>
      </c>
      <c r="CJ32" s="5">
        <f>58/$CJ$3</f>
        <v>0.26363636363636361</v>
      </c>
      <c r="CL32">
        <v>80</v>
      </c>
      <c r="CM32" s="5">
        <f>CL32/CL37</f>
        <v>0.25</v>
      </c>
      <c r="CN32" s="5">
        <f>80/$CN$3</f>
        <v>0.25</v>
      </c>
    </row>
    <row r="33" spans="1:93" x14ac:dyDescent="0.25">
      <c r="A33" s="1" t="s">
        <v>203</v>
      </c>
      <c r="B33">
        <v>505</v>
      </c>
      <c r="C33" s="5">
        <f>B33/B37</f>
        <v>0.505</v>
      </c>
      <c r="D33" s="5">
        <f>505/$D$3</f>
        <v>0.505</v>
      </c>
      <c r="F33">
        <v>220</v>
      </c>
      <c r="G33" s="5">
        <f>F33/F37</f>
        <v>0.46610169491525422</v>
      </c>
      <c r="H33" s="5">
        <f>220/$H$3</f>
        <v>0.46610169491525422</v>
      </c>
      <c r="J33">
        <v>120</v>
      </c>
      <c r="K33" s="5">
        <f>J33/J37</f>
        <v>0.42105263157894735</v>
      </c>
      <c r="L33" s="11">
        <f>120/$L$3</f>
        <v>0.42105263157894735</v>
      </c>
      <c r="N33">
        <v>94</v>
      </c>
      <c r="O33" s="5">
        <f>N33/N37</f>
        <v>0.40517241379310343</v>
      </c>
      <c r="P33" s="11">
        <f>94/$P$3</f>
        <v>0.40517241379310343</v>
      </c>
      <c r="R33">
        <v>97</v>
      </c>
      <c r="S33" s="5">
        <f>R33/R37</f>
        <v>0.32993197278911562</v>
      </c>
      <c r="T33" s="11">
        <f>97/$T$3</f>
        <v>0.32993197278911562</v>
      </c>
      <c r="V33">
        <v>186</v>
      </c>
      <c r="W33" s="5">
        <f>V33/V37</f>
        <v>0.44711538461538464</v>
      </c>
      <c r="X33" s="11">
        <f>186/$X$3</f>
        <v>0.44711538461538464</v>
      </c>
      <c r="Z33">
        <v>187</v>
      </c>
      <c r="AA33" s="5">
        <f>Z33/Z37</f>
        <v>0.44523809523809521</v>
      </c>
      <c r="AB33" s="11">
        <f>187/$AB$3</f>
        <v>0.44523809523809521</v>
      </c>
      <c r="AD33">
        <v>219</v>
      </c>
      <c r="AE33" s="5">
        <f>AD33/AD37</f>
        <v>0.438</v>
      </c>
      <c r="AF33" s="11">
        <f>219/$AF$3</f>
        <v>0.438</v>
      </c>
      <c r="AH33">
        <v>286</v>
      </c>
      <c r="AI33" s="5">
        <f>AH33/AH37</f>
        <v>0.57199999999999995</v>
      </c>
      <c r="AJ33" s="10">
        <f>286/$AJ$3</f>
        <v>0.57199999999999995</v>
      </c>
      <c r="AL33">
        <v>85</v>
      </c>
      <c r="AM33" s="5">
        <f>AL33/AL37</f>
        <v>0.50295857988165682</v>
      </c>
      <c r="AN33" s="5">
        <f>85/$AN$3</f>
        <v>0.50295857988165682</v>
      </c>
      <c r="AP33">
        <v>157</v>
      </c>
      <c r="AQ33" s="5">
        <f>AP33/AP37</f>
        <v>0.50482315112540188</v>
      </c>
      <c r="AR33" s="5">
        <f>157/$AR$3</f>
        <v>0.50482315112540188</v>
      </c>
      <c r="AT33">
        <v>195</v>
      </c>
      <c r="AU33" s="5">
        <f>AT33/AT37</f>
        <v>0.5</v>
      </c>
      <c r="AV33" s="5">
        <f>195/$AV$3</f>
        <v>0.5</v>
      </c>
      <c r="AX33">
        <v>68</v>
      </c>
      <c r="AY33" s="5">
        <f>AX33/AX37</f>
        <v>0.52307692307692311</v>
      </c>
      <c r="AZ33" s="5">
        <f>68/$AZ$3</f>
        <v>0.52307692307692311</v>
      </c>
      <c r="BB33">
        <v>213</v>
      </c>
      <c r="BC33" s="5">
        <f>BB33/BB37</f>
        <v>0.52463054187192115</v>
      </c>
      <c r="BD33" s="5">
        <f>213/$BD$3</f>
        <v>0.52463054187192115</v>
      </c>
      <c r="BF33">
        <v>185</v>
      </c>
      <c r="BG33" s="5">
        <f>BF33/BF37</f>
        <v>0.49731182795698925</v>
      </c>
      <c r="BH33" s="5">
        <f>185/$BH$3</f>
        <v>0.49731182795698925</v>
      </c>
      <c r="BJ33">
        <v>107</v>
      </c>
      <c r="BK33" s="5">
        <f>BJ33/BJ37</f>
        <v>0.481981981981982</v>
      </c>
      <c r="BL33" s="5">
        <f>107/$BL$3</f>
        <v>0.481981981981982</v>
      </c>
      <c r="BN33">
        <v>207</v>
      </c>
      <c r="BO33" s="5">
        <f>BN33/BN37</f>
        <v>0.54473684210526319</v>
      </c>
      <c r="BP33" s="5">
        <f>207/$BP$3</f>
        <v>0.54473684210526319</v>
      </c>
      <c r="BR33">
        <v>177</v>
      </c>
      <c r="BS33" s="5">
        <f>BR33/BR37</f>
        <v>0.47837837837837838</v>
      </c>
      <c r="BT33" s="5">
        <f>177/$BT$3</f>
        <v>0.47837837837837838</v>
      </c>
      <c r="BV33">
        <v>121</v>
      </c>
      <c r="BW33" s="5">
        <f>BV33/BV37</f>
        <v>0.48399999999999999</v>
      </c>
      <c r="BX33" s="5">
        <f>121/$BX$3</f>
        <v>0.48399999999999999</v>
      </c>
      <c r="BZ33">
        <v>123</v>
      </c>
      <c r="CA33" s="5">
        <f>BZ33/BZ37</f>
        <v>0.49199999999999999</v>
      </c>
      <c r="CB33" s="5">
        <f>123/$CB$3</f>
        <v>0.49199999999999999</v>
      </c>
      <c r="CD33">
        <v>111</v>
      </c>
      <c r="CE33" s="5">
        <f>CD33/CD37</f>
        <v>0.52857142857142858</v>
      </c>
      <c r="CF33" s="5">
        <f>111/$CF$3</f>
        <v>0.52857142857142858</v>
      </c>
      <c r="CH33">
        <v>111</v>
      </c>
      <c r="CI33" s="5">
        <f>CH33/CH37</f>
        <v>0.50454545454545452</v>
      </c>
      <c r="CJ33" s="5">
        <f>111/$CJ$3</f>
        <v>0.50454545454545452</v>
      </c>
      <c r="CL33">
        <v>160</v>
      </c>
      <c r="CM33" s="5">
        <f>CL33/CL37</f>
        <v>0.5</v>
      </c>
      <c r="CN33" s="5">
        <f>160/$CN$3</f>
        <v>0.5</v>
      </c>
    </row>
    <row r="34" spans="1:93" x14ac:dyDescent="0.25">
      <c r="A34" s="1" t="s">
        <v>208</v>
      </c>
      <c r="B34">
        <v>119</v>
      </c>
      <c r="C34" s="5">
        <f>B34/B37</f>
        <v>0.11899999999999999</v>
      </c>
      <c r="D34" s="5">
        <f>119/$D$3</f>
        <v>0.11899999999999999</v>
      </c>
      <c r="F34">
        <v>50</v>
      </c>
      <c r="G34" s="5">
        <f>F34/F37</f>
        <v>0.1059322033898305</v>
      </c>
      <c r="H34" s="5">
        <f>50/$H$3</f>
        <v>0.1059322033898305</v>
      </c>
      <c r="J34">
        <v>36</v>
      </c>
      <c r="K34" s="5">
        <f>J34/J37</f>
        <v>0.12631578947368421</v>
      </c>
      <c r="L34" s="5">
        <f>36/$L$3</f>
        <v>0.12631578947368421</v>
      </c>
      <c r="N34">
        <v>30</v>
      </c>
      <c r="O34" s="5">
        <f>N34/N37</f>
        <v>0.12931034482758622</v>
      </c>
      <c r="P34" s="5">
        <f>30/$P$3</f>
        <v>0.12931034482758622</v>
      </c>
      <c r="R34">
        <v>16</v>
      </c>
      <c r="S34" s="5">
        <f>R34/R37</f>
        <v>5.4421768707482991E-2</v>
      </c>
      <c r="T34" s="11">
        <f>16/$T$3</f>
        <v>5.4421768707482991E-2</v>
      </c>
      <c r="V34">
        <v>45</v>
      </c>
      <c r="W34" s="5">
        <f>V34/V37</f>
        <v>0.10817307692307693</v>
      </c>
      <c r="X34" s="5">
        <f>45/$X$3</f>
        <v>0.10817307692307693</v>
      </c>
      <c r="Z34">
        <v>45</v>
      </c>
      <c r="AA34" s="5">
        <f>Z34/Z37</f>
        <v>0.10714285714285714</v>
      </c>
      <c r="AB34" s="5">
        <f>45/$AB$3</f>
        <v>0.10714285714285714</v>
      </c>
      <c r="AD34">
        <v>59</v>
      </c>
      <c r="AE34" s="5">
        <f>AD34/AD37</f>
        <v>0.11799999999999999</v>
      </c>
      <c r="AF34" s="5">
        <f>59/$AF$3</f>
        <v>0.11799999999999999</v>
      </c>
      <c r="AH34">
        <v>60</v>
      </c>
      <c r="AI34" s="5">
        <f>AH34/AH37</f>
        <v>0.12</v>
      </c>
      <c r="AJ34" s="5">
        <f>60/$AJ$3</f>
        <v>0.12</v>
      </c>
      <c r="AL34">
        <v>10</v>
      </c>
      <c r="AM34" s="5">
        <f>AL34/AL37</f>
        <v>5.9171597633136092E-2</v>
      </c>
      <c r="AN34" s="11">
        <f>10/$AN$3</f>
        <v>5.9171597633136092E-2</v>
      </c>
      <c r="AP34">
        <v>33</v>
      </c>
      <c r="AQ34" s="5">
        <f>AP34/AP37</f>
        <v>0.10610932475884244</v>
      </c>
      <c r="AR34" s="5">
        <f>33/$AR$3</f>
        <v>0.10610932475884244</v>
      </c>
      <c r="AT34">
        <v>60</v>
      </c>
      <c r="AU34" s="5">
        <f>AT34/AT37</f>
        <v>0.15384615384615385</v>
      </c>
      <c r="AV34" s="5">
        <f>60/$AV$3</f>
        <v>0.15384615384615385</v>
      </c>
      <c r="AW34" s="12"/>
      <c r="AX34">
        <v>16</v>
      </c>
      <c r="AY34" s="5">
        <f>AX34/AX37</f>
        <v>0.12307692307692308</v>
      </c>
      <c r="AZ34" s="5">
        <f>16/$AZ$3</f>
        <v>0.12307692307692308</v>
      </c>
      <c r="BB34">
        <v>30</v>
      </c>
      <c r="BC34" s="5">
        <f>BB34/BB37</f>
        <v>7.3891625615763554E-2</v>
      </c>
      <c r="BD34" s="5">
        <f>30/$BD$3</f>
        <v>7.3891625615763554E-2</v>
      </c>
      <c r="BF34">
        <v>52</v>
      </c>
      <c r="BG34" s="5">
        <f>BF34/BF37</f>
        <v>0.13978494623655913</v>
      </c>
      <c r="BH34" s="5">
        <f>52/$BH$3</f>
        <v>0.13978494623655913</v>
      </c>
      <c r="BI34" s="12"/>
      <c r="BJ34">
        <v>37</v>
      </c>
      <c r="BK34" s="5">
        <f>BJ34/BJ37</f>
        <v>0.16666666666666666</v>
      </c>
      <c r="BL34" s="5">
        <f>37/$BL$3</f>
        <v>0.16666666666666666</v>
      </c>
      <c r="BM34" s="12"/>
      <c r="BN34">
        <v>42</v>
      </c>
      <c r="BO34" s="5">
        <f>BN34/BN37</f>
        <v>0.11052631578947368</v>
      </c>
      <c r="BP34" s="5">
        <f>42/$BP$3</f>
        <v>0.11052631578947368</v>
      </c>
      <c r="BR34">
        <v>46</v>
      </c>
      <c r="BS34" s="5">
        <f>BR34/BR37</f>
        <v>0.12432432432432433</v>
      </c>
      <c r="BT34" s="5">
        <f>46/$BT$3</f>
        <v>0.12432432432432433</v>
      </c>
      <c r="BV34">
        <v>31</v>
      </c>
      <c r="BW34" s="5">
        <f>BV34/BV37</f>
        <v>0.124</v>
      </c>
      <c r="BX34" s="5">
        <f>31/$BX$3</f>
        <v>0.124</v>
      </c>
      <c r="BZ34">
        <v>33</v>
      </c>
      <c r="CA34" s="5">
        <f>BZ34/BZ37</f>
        <v>0.13200000000000001</v>
      </c>
      <c r="CB34" s="5">
        <f>33/$CB$3</f>
        <v>0.13200000000000001</v>
      </c>
      <c r="CD34">
        <v>26</v>
      </c>
      <c r="CE34" s="5">
        <f>CD34/CD37</f>
        <v>0.12380952380952381</v>
      </c>
      <c r="CF34" s="5">
        <f>26/$CF$3</f>
        <v>0.12380952380952381</v>
      </c>
      <c r="CH34">
        <v>22</v>
      </c>
      <c r="CI34" s="5">
        <f>CH34/CH37</f>
        <v>0.1</v>
      </c>
      <c r="CJ34" s="5">
        <f>22/$CJ$3</f>
        <v>0.1</v>
      </c>
      <c r="CL34">
        <v>38</v>
      </c>
      <c r="CM34" s="5">
        <f>CL34/CL37</f>
        <v>0.11874999999999999</v>
      </c>
      <c r="CN34" s="5">
        <f>38/$CN$3</f>
        <v>0.11874999999999999</v>
      </c>
    </row>
    <row r="35" spans="1:93" x14ac:dyDescent="0.25">
      <c r="A35" s="1" t="s">
        <v>226</v>
      </c>
      <c r="B35">
        <v>32</v>
      </c>
      <c r="C35" s="5">
        <f>B35/B37</f>
        <v>3.2000000000000001E-2</v>
      </c>
      <c r="D35" s="5">
        <f>32/$D$3</f>
        <v>3.2000000000000001E-2</v>
      </c>
      <c r="F35">
        <v>10</v>
      </c>
      <c r="G35" s="5">
        <f>F35/F37</f>
        <v>2.1186440677966101E-2</v>
      </c>
      <c r="H35" s="5">
        <f>10/$H$3</f>
        <v>2.1186440677966101E-2</v>
      </c>
      <c r="J35">
        <v>7</v>
      </c>
      <c r="K35" s="5">
        <f>J35/J37</f>
        <v>2.456140350877193E-2</v>
      </c>
      <c r="L35" s="5">
        <f>7/$L$3</f>
        <v>2.456140350877193E-2</v>
      </c>
      <c r="N35">
        <v>3</v>
      </c>
      <c r="O35" s="5">
        <f>N35/N37</f>
        <v>1.2931034482758621E-2</v>
      </c>
      <c r="P35" s="5">
        <f>3/$P$3</f>
        <v>1.2931034482758621E-2</v>
      </c>
      <c r="R35">
        <v>4</v>
      </c>
      <c r="S35" s="5">
        <f>R35/R37</f>
        <v>1.3605442176870748E-2</v>
      </c>
      <c r="T35" s="5">
        <f>4/$T$3</f>
        <v>1.3605442176870748E-2</v>
      </c>
      <c r="V35">
        <v>8</v>
      </c>
      <c r="W35" s="5">
        <f>V35/V37</f>
        <v>1.9230769230769232E-2</v>
      </c>
      <c r="X35" s="5">
        <f>8/$X$3</f>
        <v>1.9230769230769232E-2</v>
      </c>
      <c r="Z35">
        <v>6</v>
      </c>
      <c r="AA35" s="5">
        <f>Z35/Z37</f>
        <v>1.4285714285714285E-2</v>
      </c>
      <c r="AB35" s="5">
        <f>6/$AB$3</f>
        <v>1.4285714285714285E-2</v>
      </c>
      <c r="AD35">
        <v>20</v>
      </c>
      <c r="AE35" s="5">
        <f>AD35/AD37</f>
        <v>0.04</v>
      </c>
      <c r="AF35" s="5">
        <f>20/$AF$3</f>
        <v>0.04</v>
      </c>
      <c r="AH35">
        <v>12</v>
      </c>
      <c r="AI35" s="5">
        <f>AH35/AH37</f>
        <v>2.4E-2</v>
      </c>
      <c r="AJ35" s="5">
        <f>12/$AJ$3</f>
        <v>2.4E-2</v>
      </c>
      <c r="AL35">
        <v>4</v>
      </c>
      <c r="AM35" s="5">
        <f>AL35/AL37</f>
        <v>2.3668639053254437E-2</v>
      </c>
      <c r="AN35" s="5">
        <f>4/$AN$3</f>
        <v>2.3668639053254437E-2</v>
      </c>
      <c r="AP35">
        <v>9</v>
      </c>
      <c r="AQ35" s="5">
        <f>AP35/AP37</f>
        <v>2.8938906752411574E-2</v>
      </c>
      <c r="AR35" s="5">
        <f>9/$AR$3</f>
        <v>2.8938906752411574E-2</v>
      </c>
      <c r="AT35">
        <v>15</v>
      </c>
      <c r="AU35" s="5">
        <f>AT35/AT37</f>
        <v>3.8461538461538464E-2</v>
      </c>
      <c r="AV35" s="5">
        <f>15/$AV$3</f>
        <v>3.8461538461538464E-2</v>
      </c>
      <c r="AX35">
        <v>4</v>
      </c>
      <c r="AY35" s="5">
        <f>AX35/AX37</f>
        <v>3.0769230769230771E-2</v>
      </c>
      <c r="AZ35" s="5">
        <f>4/$AZ$3</f>
        <v>3.0769230769230771E-2</v>
      </c>
      <c r="BB35">
        <v>15</v>
      </c>
      <c r="BC35" s="5">
        <f>BB35/BB37</f>
        <v>3.6945812807881777E-2</v>
      </c>
      <c r="BD35" s="5">
        <f>15/$BD$3</f>
        <v>3.6945812807881777E-2</v>
      </c>
      <c r="BF35">
        <v>9</v>
      </c>
      <c r="BG35" s="5">
        <f>BF35/BF37</f>
        <v>2.4193548387096774E-2</v>
      </c>
      <c r="BH35" s="5">
        <f>9/$BH$3</f>
        <v>2.4193548387096774E-2</v>
      </c>
      <c r="BJ35">
        <v>8</v>
      </c>
      <c r="BK35" s="5">
        <f>BJ35/BJ37</f>
        <v>3.6036036036036036E-2</v>
      </c>
      <c r="BL35" s="5">
        <f>8/$BL$3</f>
        <v>3.6036036036036036E-2</v>
      </c>
      <c r="BN35">
        <v>13</v>
      </c>
      <c r="BO35" s="5">
        <f>BN35/BN37</f>
        <v>3.4210526315789476E-2</v>
      </c>
      <c r="BP35" s="5">
        <f>13/$BP$3</f>
        <v>3.4210526315789476E-2</v>
      </c>
      <c r="BR35">
        <v>10</v>
      </c>
      <c r="BS35" s="5">
        <f>BR35/BR37</f>
        <v>2.7027027027027029E-2</v>
      </c>
      <c r="BT35" s="5">
        <f>10/$BT$3</f>
        <v>2.7027027027027029E-2</v>
      </c>
      <c r="BV35">
        <v>9</v>
      </c>
      <c r="BW35" s="5">
        <f>BV35/BV37</f>
        <v>3.5999999999999997E-2</v>
      </c>
      <c r="BX35" s="5">
        <f>9/$BX$3</f>
        <v>3.5999999999999997E-2</v>
      </c>
      <c r="BZ35">
        <v>7</v>
      </c>
      <c r="CA35" s="5">
        <f>BZ35/BZ37</f>
        <v>2.8000000000000001E-2</v>
      </c>
      <c r="CB35" s="5">
        <f>7/$CB$3</f>
        <v>2.8000000000000001E-2</v>
      </c>
      <c r="CD35">
        <v>7</v>
      </c>
      <c r="CE35" s="5">
        <f>CD35/CD37</f>
        <v>3.3333333333333333E-2</v>
      </c>
      <c r="CF35" s="5">
        <f>7/$CF$3</f>
        <v>3.3333333333333333E-2</v>
      </c>
      <c r="CH35">
        <v>5</v>
      </c>
      <c r="CI35" s="5">
        <f>CH35/CH37</f>
        <v>2.2727272727272728E-2</v>
      </c>
      <c r="CJ35" s="5">
        <f>5/$CJ$3</f>
        <v>2.2727272727272728E-2</v>
      </c>
      <c r="CL35">
        <v>13</v>
      </c>
      <c r="CM35" s="5">
        <f>CL35/CL37</f>
        <v>4.0625000000000001E-2</v>
      </c>
      <c r="CN35" s="5">
        <f>13/$CN$3</f>
        <v>4.0625000000000001E-2</v>
      </c>
    </row>
    <row r="36" spans="1:93" x14ac:dyDescent="0.25">
      <c r="A36" s="1" t="s">
        <v>12</v>
      </c>
      <c r="B36">
        <v>0</v>
      </c>
      <c r="C36" s="5">
        <f>B36/B37</f>
        <v>0</v>
      </c>
      <c r="D36" s="5">
        <f>0/$D$3</f>
        <v>0</v>
      </c>
      <c r="F36">
        <v>0</v>
      </c>
      <c r="G36" s="5">
        <f>F36/F37</f>
        <v>0</v>
      </c>
      <c r="H36" s="5">
        <f>0/$H$3</f>
        <v>0</v>
      </c>
      <c r="J36">
        <v>0</v>
      </c>
      <c r="K36" s="5">
        <f>J36/J37</f>
        <v>0</v>
      </c>
      <c r="L36" s="5">
        <f>0/$L$3</f>
        <v>0</v>
      </c>
      <c r="N36">
        <v>0</v>
      </c>
      <c r="O36" s="5">
        <f>N36/N37</f>
        <v>0</v>
      </c>
      <c r="P36" s="5">
        <f>0/$P$3</f>
        <v>0</v>
      </c>
      <c r="R36">
        <v>0</v>
      </c>
      <c r="S36" s="5">
        <f>R36/R37</f>
        <v>0</v>
      </c>
      <c r="T36" s="5">
        <f>0/$T$3</f>
        <v>0</v>
      </c>
      <c r="V36">
        <v>0</v>
      </c>
      <c r="W36" s="5">
        <f>V36/V37</f>
        <v>0</v>
      </c>
      <c r="X36" s="5">
        <f>0/$X$3</f>
        <v>0</v>
      </c>
      <c r="Z36">
        <v>0</v>
      </c>
      <c r="AA36" s="5">
        <f>Z36/Z37</f>
        <v>0</v>
      </c>
      <c r="AB36" s="5">
        <f>0/$AB$3</f>
        <v>0</v>
      </c>
      <c r="AD36">
        <v>0</v>
      </c>
      <c r="AE36" s="5">
        <f>AD36/AD37</f>
        <v>0</v>
      </c>
      <c r="AF36" s="5">
        <f>0/$AF$3</f>
        <v>0</v>
      </c>
      <c r="AH36">
        <v>0</v>
      </c>
      <c r="AI36" s="5">
        <f>AH36/AH37</f>
        <v>0</v>
      </c>
      <c r="AJ36" s="5">
        <f>0/$AJ$3</f>
        <v>0</v>
      </c>
      <c r="AL36">
        <v>0</v>
      </c>
      <c r="AM36" s="5">
        <f>AL36/AL37</f>
        <v>0</v>
      </c>
      <c r="AN36" s="5">
        <f>0/$AN$3</f>
        <v>0</v>
      </c>
      <c r="AP36">
        <v>0</v>
      </c>
      <c r="AQ36" s="5">
        <f>AP36/AP37</f>
        <v>0</v>
      </c>
      <c r="AR36" s="5">
        <f>0/$AR$3</f>
        <v>0</v>
      </c>
      <c r="AT36">
        <v>0</v>
      </c>
      <c r="AU36" s="5">
        <f>AT36/AT37</f>
        <v>0</v>
      </c>
      <c r="AV36" s="5">
        <f>0/$AV$3</f>
        <v>0</v>
      </c>
      <c r="AX36">
        <v>0</v>
      </c>
      <c r="AY36" s="5">
        <f>AX36/AX37</f>
        <v>0</v>
      </c>
      <c r="AZ36" s="5">
        <f>0/$AZ$3</f>
        <v>0</v>
      </c>
      <c r="BB36">
        <v>0</v>
      </c>
      <c r="BC36" s="5">
        <f>BB36/BB37</f>
        <v>0</v>
      </c>
      <c r="BD36" s="5">
        <f>0/$BD$3</f>
        <v>0</v>
      </c>
      <c r="BF36">
        <v>0</v>
      </c>
      <c r="BG36" s="5">
        <f>BF36/BF37</f>
        <v>0</v>
      </c>
      <c r="BH36" s="5">
        <f>0/$BH$3</f>
        <v>0</v>
      </c>
      <c r="BJ36">
        <v>0</v>
      </c>
      <c r="BK36" s="5">
        <f>BJ36/BJ37</f>
        <v>0</v>
      </c>
      <c r="BL36" s="5">
        <f>0/$BL$3</f>
        <v>0</v>
      </c>
      <c r="BN36">
        <v>0</v>
      </c>
      <c r="BO36" s="5">
        <f>BN36/BN37</f>
        <v>0</v>
      </c>
      <c r="BP36" s="5">
        <f>0/$BP$3</f>
        <v>0</v>
      </c>
      <c r="BR36">
        <v>0</v>
      </c>
      <c r="BS36" s="5">
        <f>BR36/BR37</f>
        <v>0</v>
      </c>
      <c r="BT36" s="5">
        <f>0/$BT$3</f>
        <v>0</v>
      </c>
      <c r="BV36">
        <v>0</v>
      </c>
      <c r="BW36" s="5">
        <f>BV36/BV37</f>
        <v>0</v>
      </c>
      <c r="BX36" s="5">
        <f>0/$BX$3</f>
        <v>0</v>
      </c>
      <c r="BZ36">
        <v>0</v>
      </c>
      <c r="CA36" s="5">
        <f>BZ36/BZ37</f>
        <v>0</v>
      </c>
      <c r="CB36" s="5">
        <f>0/$CB$3</f>
        <v>0</v>
      </c>
      <c r="CD36">
        <v>0</v>
      </c>
      <c r="CE36" s="5">
        <f>CD36/CD37</f>
        <v>0</v>
      </c>
      <c r="CF36" s="5">
        <f>0/$CF$3</f>
        <v>0</v>
      </c>
      <c r="CH36">
        <v>0</v>
      </c>
      <c r="CI36" s="5">
        <f>CH36/CH37</f>
        <v>0</v>
      </c>
      <c r="CJ36" s="5">
        <f>0/$CJ$3</f>
        <v>0</v>
      </c>
      <c r="CL36">
        <v>0</v>
      </c>
      <c r="CM36" s="5">
        <f>CL36/CL37</f>
        <v>0</v>
      </c>
      <c r="CN36" s="5">
        <f>0/$CN$3</f>
        <v>0</v>
      </c>
    </row>
    <row r="37" spans="1:93" s="6" customFormat="1" x14ac:dyDescent="0.25">
      <c r="A37" s="7" t="s">
        <v>13</v>
      </c>
      <c r="B37" s="6">
        <v>1000</v>
      </c>
      <c r="F37" s="6">
        <v>472</v>
      </c>
      <c r="J37" s="6">
        <v>285</v>
      </c>
      <c r="N37" s="6">
        <v>232</v>
      </c>
      <c r="R37" s="6">
        <v>294</v>
      </c>
      <c r="V37" s="6">
        <v>416</v>
      </c>
      <c r="Z37" s="6">
        <v>420</v>
      </c>
      <c r="AD37" s="6">
        <v>500</v>
      </c>
      <c r="AH37" s="6">
        <v>500</v>
      </c>
      <c r="AL37" s="6">
        <v>169</v>
      </c>
      <c r="AP37" s="6">
        <v>311</v>
      </c>
      <c r="AT37" s="6">
        <v>390</v>
      </c>
      <c r="AX37" s="6">
        <v>130</v>
      </c>
      <c r="BB37" s="6">
        <v>406</v>
      </c>
      <c r="BF37" s="6">
        <v>372</v>
      </c>
      <c r="BJ37" s="6">
        <v>222</v>
      </c>
      <c r="BN37" s="6">
        <v>380</v>
      </c>
      <c r="BR37" s="6">
        <v>370</v>
      </c>
      <c r="BV37" s="6">
        <v>250</v>
      </c>
      <c r="BZ37" s="6">
        <v>250</v>
      </c>
      <c r="CD37" s="6">
        <v>210</v>
      </c>
      <c r="CH37" s="6">
        <v>220</v>
      </c>
      <c r="CL37" s="6">
        <v>320</v>
      </c>
    </row>
    <row r="38" spans="1:93" hidden="1" x14ac:dyDescent="0.25">
      <c r="A38" s="8" t="s">
        <v>14</v>
      </c>
      <c r="B38">
        <v>0</v>
      </c>
      <c r="F38">
        <v>0</v>
      </c>
      <c r="J38">
        <v>0</v>
      </c>
      <c r="N38">
        <v>0</v>
      </c>
      <c r="R38">
        <v>0</v>
      </c>
      <c r="V38">
        <v>0</v>
      </c>
      <c r="Z38">
        <v>0</v>
      </c>
      <c r="AD38">
        <v>0</v>
      </c>
      <c r="AH38">
        <v>0</v>
      </c>
      <c r="AL38">
        <v>0</v>
      </c>
      <c r="AP38">
        <v>0</v>
      </c>
      <c r="AT38">
        <v>0</v>
      </c>
      <c r="AX38">
        <v>0</v>
      </c>
      <c r="BB38">
        <v>0</v>
      </c>
      <c r="BF38">
        <v>0</v>
      </c>
      <c r="BJ38">
        <v>0</v>
      </c>
      <c r="BN38">
        <v>0</v>
      </c>
      <c r="BR38">
        <v>0</v>
      </c>
      <c r="BV38">
        <v>0</v>
      </c>
      <c r="BZ38">
        <v>0</v>
      </c>
      <c r="CD38">
        <v>0</v>
      </c>
      <c r="CH38">
        <v>0</v>
      </c>
      <c r="CL38">
        <v>0</v>
      </c>
    </row>
    <row r="39" spans="1:93" hidden="1" x14ac:dyDescent="0.25">
      <c r="A39" s="8" t="s">
        <v>15</v>
      </c>
      <c r="B39">
        <v>0</v>
      </c>
      <c r="F39">
        <v>0</v>
      </c>
      <c r="J39">
        <v>0</v>
      </c>
      <c r="N39">
        <v>0</v>
      </c>
      <c r="R39">
        <v>0</v>
      </c>
      <c r="V39">
        <v>0</v>
      </c>
      <c r="Z39">
        <v>0</v>
      </c>
      <c r="AD39">
        <v>0</v>
      </c>
      <c r="AH39">
        <v>0</v>
      </c>
      <c r="AL39">
        <v>0</v>
      </c>
      <c r="AP39">
        <v>0</v>
      </c>
      <c r="AT39">
        <v>0</v>
      </c>
      <c r="AX39">
        <v>0</v>
      </c>
      <c r="BB39">
        <v>0</v>
      </c>
      <c r="BF39">
        <v>0</v>
      </c>
      <c r="BJ39">
        <v>0</v>
      </c>
      <c r="BN39">
        <v>0</v>
      </c>
      <c r="BR39">
        <v>0</v>
      </c>
      <c r="BV39">
        <v>0</v>
      </c>
      <c r="BZ39">
        <v>0</v>
      </c>
      <c r="CD39">
        <v>0</v>
      </c>
      <c r="CH39">
        <v>0</v>
      </c>
      <c r="CL39">
        <v>0</v>
      </c>
    </row>
    <row r="41" spans="1:93" x14ac:dyDescent="0.25">
      <c r="AN41" s="2" t="s">
        <v>5</v>
      </c>
      <c r="AR41" s="2" t="s">
        <v>6</v>
      </c>
      <c r="AV41" s="2" t="s">
        <v>7</v>
      </c>
      <c r="AZ41" s="2" t="s">
        <v>8</v>
      </c>
      <c r="BD41" s="2" t="s">
        <v>5</v>
      </c>
      <c r="BH41" s="2" t="s">
        <v>6</v>
      </c>
      <c r="BL41" s="2" t="s">
        <v>7</v>
      </c>
      <c r="BP41" s="2" t="s">
        <v>5</v>
      </c>
      <c r="BT41" s="2" t="s">
        <v>6</v>
      </c>
      <c r="BX41" s="2" t="s">
        <v>7</v>
      </c>
      <c r="CB41" s="2" t="s">
        <v>5</v>
      </c>
      <c r="CF41" s="2" t="s">
        <v>6</v>
      </c>
      <c r="CJ41" s="2" t="s">
        <v>7</v>
      </c>
      <c r="CN41" s="2" t="s">
        <v>8</v>
      </c>
    </row>
    <row r="42" spans="1:93" s="3" customFormat="1" x14ac:dyDescent="0.25">
      <c r="A42" s="3" t="s">
        <v>568</v>
      </c>
      <c r="D42" s="4" t="s">
        <v>10</v>
      </c>
      <c r="H42" s="4" t="s">
        <v>10</v>
      </c>
      <c r="L42" s="4" t="s">
        <v>10</v>
      </c>
      <c r="P42" s="4" t="s">
        <v>10</v>
      </c>
      <c r="T42" s="4" t="s">
        <v>10</v>
      </c>
      <c r="X42" s="4" t="s">
        <v>10</v>
      </c>
      <c r="AB42" s="4" t="s">
        <v>10</v>
      </c>
      <c r="AF42" s="4" t="s">
        <v>10</v>
      </c>
      <c r="AJ42" s="4" t="s">
        <v>10</v>
      </c>
      <c r="AN42" s="4" t="s">
        <v>10</v>
      </c>
      <c r="AR42" s="4" t="s">
        <v>10</v>
      </c>
      <c r="AV42" s="4" t="s">
        <v>10</v>
      </c>
      <c r="AZ42" s="4" t="s">
        <v>10</v>
      </c>
      <c r="BD42" s="4" t="s">
        <v>10</v>
      </c>
      <c r="BH42" s="4" t="s">
        <v>10</v>
      </c>
      <c r="BL42" s="4" t="s">
        <v>10</v>
      </c>
      <c r="BP42" s="4" t="s">
        <v>10</v>
      </c>
      <c r="BT42" s="4" t="s">
        <v>10</v>
      </c>
      <c r="BX42" s="4" t="s">
        <v>10</v>
      </c>
      <c r="CB42" s="4" t="s">
        <v>10</v>
      </c>
      <c r="CF42" s="4" t="s">
        <v>10</v>
      </c>
      <c r="CJ42" s="4" t="s">
        <v>10</v>
      </c>
      <c r="CN42" s="4" t="s">
        <v>10</v>
      </c>
    </row>
    <row r="43" spans="1:93" x14ac:dyDescent="0.25">
      <c r="A43" s="1" t="s">
        <v>569</v>
      </c>
      <c r="B43">
        <v>40</v>
      </c>
      <c r="C43" s="5">
        <f>B43/B50</f>
        <v>0.04</v>
      </c>
      <c r="D43" s="5">
        <f>40/$D$3</f>
        <v>0.04</v>
      </c>
      <c r="F43">
        <v>19</v>
      </c>
      <c r="G43" s="5">
        <f>F43/F50</f>
        <v>4.025423728813559E-2</v>
      </c>
      <c r="H43" s="5">
        <f>19/$H$3</f>
        <v>4.025423728813559E-2</v>
      </c>
      <c r="J43">
        <v>18</v>
      </c>
      <c r="K43" s="5">
        <f>J43/J50</f>
        <v>6.3157894736842107E-2</v>
      </c>
      <c r="L43" s="5">
        <f>18/$L$3</f>
        <v>6.3157894736842107E-2</v>
      </c>
      <c r="N43">
        <v>14</v>
      </c>
      <c r="O43" s="5">
        <f>N43/N50</f>
        <v>6.0344827586206899E-2</v>
      </c>
      <c r="P43" s="5">
        <f>14/$P$3</f>
        <v>6.0344827586206899E-2</v>
      </c>
      <c r="R43">
        <v>15</v>
      </c>
      <c r="S43" s="5">
        <f>R43/R50</f>
        <v>5.1020408163265307E-2</v>
      </c>
      <c r="T43" s="5">
        <f>15/$T$3</f>
        <v>5.1020408163265307E-2</v>
      </c>
      <c r="V43">
        <v>17</v>
      </c>
      <c r="W43" s="5">
        <f>V43/V50</f>
        <v>4.0865384615384616E-2</v>
      </c>
      <c r="X43" s="5">
        <f>17/$X$3</f>
        <v>4.0865384615384616E-2</v>
      </c>
      <c r="Z43">
        <v>18</v>
      </c>
      <c r="AA43" s="5">
        <f>Z43/Z50</f>
        <v>4.2857142857142858E-2</v>
      </c>
      <c r="AB43" s="5">
        <f>18/$AB$3</f>
        <v>4.2857142857142858E-2</v>
      </c>
      <c r="AD43">
        <v>21</v>
      </c>
      <c r="AE43" s="5">
        <f>AD43/AD50</f>
        <v>4.2000000000000003E-2</v>
      </c>
      <c r="AF43" s="5">
        <f>21/$AF$3</f>
        <v>4.2000000000000003E-2</v>
      </c>
      <c r="AH43">
        <v>19</v>
      </c>
      <c r="AI43" s="5">
        <f>AH43/AH50</f>
        <v>3.7999999999999999E-2</v>
      </c>
      <c r="AJ43" s="5">
        <f>19/$AJ$3</f>
        <v>3.7999999999999999E-2</v>
      </c>
      <c r="AL43">
        <v>12</v>
      </c>
      <c r="AM43" s="5">
        <f>AL43/AL50</f>
        <v>7.1005917159763315E-2</v>
      </c>
      <c r="AN43" s="5">
        <f>12/$AN$3</f>
        <v>7.1005917159763315E-2</v>
      </c>
      <c r="AP43">
        <v>11</v>
      </c>
      <c r="AQ43" s="5">
        <f>AP43/AP50</f>
        <v>3.5369774919614148E-2</v>
      </c>
      <c r="AR43" s="5">
        <f>11/$AR$3</f>
        <v>3.5369774919614148E-2</v>
      </c>
      <c r="AT43">
        <v>13</v>
      </c>
      <c r="AU43" s="5">
        <f>AT43/AT50</f>
        <v>3.3333333333333333E-2</v>
      </c>
      <c r="AV43" s="5">
        <f>13/$AV$3</f>
        <v>3.3333333333333333E-2</v>
      </c>
      <c r="AX43">
        <v>4</v>
      </c>
      <c r="AY43" s="5">
        <f>AX43/AX50</f>
        <v>3.0769230769230771E-2</v>
      </c>
      <c r="AZ43" s="5">
        <f>4/$AZ$3</f>
        <v>3.0769230769230771E-2</v>
      </c>
      <c r="BB43">
        <v>23</v>
      </c>
      <c r="BC43" s="5">
        <f>BB43/BB50</f>
        <v>5.6650246305418719E-2</v>
      </c>
      <c r="BD43" s="5">
        <f>23/$BD$3</f>
        <v>5.6650246305418719E-2</v>
      </c>
      <c r="BF43">
        <v>12</v>
      </c>
      <c r="BG43" s="5">
        <f>BF43/BF50</f>
        <v>3.2258064516129031E-2</v>
      </c>
      <c r="BH43" s="5">
        <f>12/$BH$3</f>
        <v>3.2258064516129031E-2</v>
      </c>
      <c r="BJ43">
        <v>5</v>
      </c>
      <c r="BK43" s="5">
        <f>BJ43/BJ50</f>
        <v>2.2522522522522521E-2</v>
      </c>
      <c r="BL43" s="5">
        <f>5/$BL$3</f>
        <v>2.2522522522522521E-2</v>
      </c>
      <c r="BN43">
        <v>15</v>
      </c>
      <c r="BO43" s="5">
        <f>BN43/BN50</f>
        <v>3.9473684210526314E-2</v>
      </c>
      <c r="BP43" s="5">
        <f>15/$BP$3</f>
        <v>3.9473684210526314E-2</v>
      </c>
      <c r="BR43">
        <v>16</v>
      </c>
      <c r="BS43" s="5">
        <f>BR43/BR50</f>
        <v>4.3243243243243246E-2</v>
      </c>
      <c r="BT43" s="5">
        <f>16/$BT$3</f>
        <v>4.3243243243243246E-2</v>
      </c>
      <c r="BV43">
        <v>9</v>
      </c>
      <c r="BW43" s="5">
        <f>BV43/BV50</f>
        <v>3.5999999999999997E-2</v>
      </c>
      <c r="BX43" s="5">
        <f>9/$BX$3</f>
        <v>3.5999999999999997E-2</v>
      </c>
      <c r="BZ43">
        <v>9</v>
      </c>
      <c r="CA43" s="5">
        <f>BZ43/BZ50</f>
        <v>3.5999999999999997E-2</v>
      </c>
      <c r="CB43" s="5">
        <f>9/$CB$3</f>
        <v>3.5999999999999997E-2</v>
      </c>
      <c r="CD43">
        <v>8</v>
      </c>
      <c r="CE43" s="5">
        <f>CD43/CD50</f>
        <v>3.8095238095238099E-2</v>
      </c>
      <c r="CF43" s="5">
        <f>8/$CF$3</f>
        <v>3.8095238095238099E-2</v>
      </c>
      <c r="CH43">
        <v>9</v>
      </c>
      <c r="CI43" s="5">
        <f>CH43/CH50</f>
        <v>4.0909090909090909E-2</v>
      </c>
      <c r="CJ43" s="5">
        <f>9/$CJ$3</f>
        <v>4.0909090909090909E-2</v>
      </c>
      <c r="CL43">
        <v>14</v>
      </c>
      <c r="CM43" s="5">
        <f>CL43/CL50</f>
        <v>4.3749999999999997E-2</v>
      </c>
      <c r="CN43" s="5">
        <f>14/$CN$3</f>
        <v>4.3749999999999997E-2</v>
      </c>
    </row>
    <row r="44" spans="1:93" x14ac:dyDescent="0.25">
      <c r="A44" s="1" t="s">
        <v>570</v>
      </c>
      <c r="B44">
        <v>173</v>
      </c>
      <c r="C44" s="5">
        <f>B44/B50</f>
        <v>0.17299999999999999</v>
      </c>
      <c r="D44" s="5">
        <f>173/$D$3</f>
        <v>0.17299999999999999</v>
      </c>
      <c r="F44">
        <v>112</v>
      </c>
      <c r="G44" s="5">
        <f>F44/F50</f>
        <v>0.23728813559322035</v>
      </c>
      <c r="H44" s="10">
        <f>112/$H$3</f>
        <v>0.23728813559322035</v>
      </c>
      <c r="J44">
        <v>72</v>
      </c>
      <c r="K44" s="5">
        <f>J44/J50</f>
        <v>0.25263157894736843</v>
      </c>
      <c r="L44" s="10">
        <f>72/$L$3</f>
        <v>0.25263157894736843</v>
      </c>
      <c r="N44">
        <v>63</v>
      </c>
      <c r="O44" s="5">
        <f>N44/N50</f>
        <v>0.27155172413793105</v>
      </c>
      <c r="P44" s="10">
        <f>63/$P$3</f>
        <v>0.27155172413793105</v>
      </c>
      <c r="R44">
        <v>102</v>
      </c>
      <c r="S44" s="5">
        <f>R44/R50</f>
        <v>0.34693877551020408</v>
      </c>
      <c r="T44" s="10">
        <f>102/$T$3</f>
        <v>0.34693877551020408</v>
      </c>
      <c r="V44">
        <v>103</v>
      </c>
      <c r="W44" s="5">
        <f>V44/V50</f>
        <v>0.24759615384615385</v>
      </c>
      <c r="X44" s="10">
        <f>103/$X$3</f>
        <v>0.24759615384615385</v>
      </c>
      <c r="Z44">
        <v>106</v>
      </c>
      <c r="AA44" s="5">
        <f>Z44/Z50</f>
        <v>0.25238095238095237</v>
      </c>
      <c r="AB44" s="10">
        <f>106/$AB$3</f>
        <v>0.25238095238095237</v>
      </c>
      <c r="AD44">
        <v>104</v>
      </c>
      <c r="AE44" s="5">
        <f>AD44/AD50</f>
        <v>0.20799999999999999</v>
      </c>
      <c r="AF44" s="5">
        <f>104/$AF$3</f>
        <v>0.20799999999999999</v>
      </c>
      <c r="AH44">
        <v>69</v>
      </c>
      <c r="AI44" s="5">
        <f>AH44/AH50</f>
        <v>0.13800000000000001</v>
      </c>
      <c r="AJ44" s="5">
        <f>69/$AJ$3</f>
        <v>0.13800000000000001</v>
      </c>
      <c r="AL44">
        <v>43</v>
      </c>
      <c r="AM44" s="5">
        <f>AL44/AL50</f>
        <v>0.25443786982248523</v>
      </c>
      <c r="AN44" s="10">
        <f>43/$AN$3</f>
        <v>0.25443786982248523</v>
      </c>
      <c r="AO44" s="12"/>
      <c r="AP44">
        <v>59</v>
      </c>
      <c r="AQ44" s="5">
        <f>AP44/AP50</f>
        <v>0.18971061093247588</v>
      </c>
      <c r="AR44" s="5">
        <f>59/$AR$3</f>
        <v>0.18971061093247588</v>
      </c>
      <c r="AT44">
        <v>58</v>
      </c>
      <c r="AU44" s="5">
        <f>AT44/AT50</f>
        <v>0.14871794871794872</v>
      </c>
      <c r="AV44" s="5">
        <f>58/$AV$3</f>
        <v>0.14871794871794872</v>
      </c>
      <c r="AX44">
        <v>13</v>
      </c>
      <c r="AY44" s="5">
        <f>AX44/AX50</f>
        <v>0.1</v>
      </c>
      <c r="AZ44" s="11">
        <f>13/$AZ$3</f>
        <v>0.1</v>
      </c>
      <c r="BB44">
        <v>73</v>
      </c>
      <c r="BC44" s="5">
        <f>BB44/BB50</f>
        <v>0.17980295566502463</v>
      </c>
      <c r="BD44" s="5">
        <f>73/$BD$3</f>
        <v>0.17980295566502463</v>
      </c>
      <c r="BF44">
        <v>65</v>
      </c>
      <c r="BG44" s="5">
        <f>BF44/BF50</f>
        <v>0.17473118279569894</v>
      </c>
      <c r="BH44" s="5">
        <f>65/$BH$3</f>
        <v>0.17473118279569894</v>
      </c>
      <c r="BJ44">
        <v>35</v>
      </c>
      <c r="BK44" s="5">
        <f>BJ44/BJ50</f>
        <v>0.15765765765765766</v>
      </c>
      <c r="BL44" s="5">
        <f>35/$BL$3</f>
        <v>0.15765765765765766</v>
      </c>
      <c r="BN44">
        <v>61</v>
      </c>
      <c r="BO44" s="5">
        <f>BN44/BN50</f>
        <v>0.16052631578947368</v>
      </c>
      <c r="BP44" s="5">
        <f>61/$BP$3</f>
        <v>0.16052631578947368</v>
      </c>
      <c r="BR44">
        <v>69</v>
      </c>
      <c r="BS44" s="5">
        <f>BR44/BR50</f>
        <v>0.1864864864864865</v>
      </c>
      <c r="BT44" s="5">
        <f>69/$BT$3</f>
        <v>0.1864864864864865</v>
      </c>
      <c r="BV44">
        <v>43</v>
      </c>
      <c r="BW44" s="5">
        <f>BV44/BV50</f>
        <v>0.17199999999999999</v>
      </c>
      <c r="BX44" s="5">
        <f>43/$BX$3</f>
        <v>0.17199999999999999</v>
      </c>
      <c r="BZ44">
        <v>38</v>
      </c>
      <c r="CA44" s="5">
        <f>BZ44/BZ50</f>
        <v>0.152</v>
      </c>
      <c r="CB44" s="5">
        <f>38/$CB$3</f>
        <v>0.152</v>
      </c>
      <c r="CD44">
        <v>23</v>
      </c>
      <c r="CE44" s="5">
        <f>CD44/CD50</f>
        <v>0.10952380952380952</v>
      </c>
      <c r="CF44" s="11">
        <f>23/$CF$3</f>
        <v>0.10952380952380952</v>
      </c>
      <c r="CH44">
        <v>48</v>
      </c>
      <c r="CI44" s="5">
        <f>CH44/CH50</f>
        <v>0.21818181818181817</v>
      </c>
      <c r="CJ44" s="5">
        <f>48/$CJ$3</f>
        <v>0.21818181818181817</v>
      </c>
      <c r="CK44" s="12"/>
      <c r="CL44">
        <v>64</v>
      </c>
      <c r="CM44" s="5">
        <f>CL44/CL50</f>
        <v>0.2</v>
      </c>
      <c r="CN44" s="5">
        <f>64/$CN$3</f>
        <v>0.2</v>
      </c>
      <c r="CO44" s="12"/>
    </row>
    <row r="45" spans="1:93" x14ac:dyDescent="0.25">
      <c r="A45" s="1" t="s">
        <v>571</v>
      </c>
      <c r="B45">
        <v>117</v>
      </c>
      <c r="C45" s="5">
        <f>B45/B50</f>
        <v>0.11700000000000001</v>
      </c>
      <c r="D45" s="5">
        <f>117/$D$3</f>
        <v>0.11700000000000001</v>
      </c>
      <c r="F45">
        <v>71</v>
      </c>
      <c r="G45" s="5">
        <f>F45/F50</f>
        <v>0.15042372881355931</v>
      </c>
      <c r="H45" s="5">
        <f>71/$H$3</f>
        <v>0.15042372881355931</v>
      </c>
      <c r="J45">
        <v>52</v>
      </c>
      <c r="K45" s="5">
        <f>J45/J50</f>
        <v>0.18245614035087721</v>
      </c>
      <c r="L45" s="10">
        <f>52/$L$3</f>
        <v>0.18245614035087721</v>
      </c>
      <c r="N45">
        <v>47</v>
      </c>
      <c r="O45" s="5">
        <f>N45/N50</f>
        <v>0.20258620689655171</v>
      </c>
      <c r="P45" s="10">
        <f>47/$P$3</f>
        <v>0.20258620689655171</v>
      </c>
      <c r="R45">
        <v>65</v>
      </c>
      <c r="S45" s="5">
        <f>R45/R50</f>
        <v>0.22108843537414966</v>
      </c>
      <c r="T45" s="10">
        <f>65/$T$3</f>
        <v>0.22108843537414966</v>
      </c>
      <c r="V45">
        <v>67</v>
      </c>
      <c r="W45" s="5">
        <f>V45/V50</f>
        <v>0.16105769230769232</v>
      </c>
      <c r="X45" s="5">
        <f>67/$X$3</f>
        <v>0.16105769230769232</v>
      </c>
      <c r="Z45">
        <v>69</v>
      </c>
      <c r="AA45" s="5">
        <f>Z45/Z50</f>
        <v>0.16428571428571428</v>
      </c>
      <c r="AB45" s="5">
        <f>69/$AB$3</f>
        <v>0.16428571428571428</v>
      </c>
      <c r="AD45">
        <v>63</v>
      </c>
      <c r="AE45" s="5">
        <f>AD45/AD50</f>
        <v>0.126</v>
      </c>
      <c r="AF45" s="5">
        <f>63/$AF$3</f>
        <v>0.126</v>
      </c>
      <c r="AH45">
        <v>54</v>
      </c>
      <c r="AI45" s="5">
        <f>AH45/AH50</f>
        <v>0.108</v>
      </c>
      <c r="AJ45" s="5">
        <f>54/$AJ$3</f>
        <v>0.108</v>
      </c>
      <c r="AL45">
        <v>20</v>
      </c>
      <c r="AM45" s="5">
        <f>AL45/AL50</f>
        <v>0.11834319526627218</v>
      </c>
      <c r="AN45" s="5">
        <f>20/$AN$3</f>
        <v>0.11834319526627218</v>
      </c>
      <c r="AP45">
        <v>46</v>
      </c>
      <c r="AQ45" s="5">
        <f>AP45/AP50</f>
        <v>0.14790996784565916</v>
      </c>
      <c r="AR45" s="5">
        <f>46/$AR$3</f>
        <v>0.14790996784565916</v>
      </c>
      <c r="AT45">
        <v>39</v>
      </c>
      <c r="AU45" s="5">
        <f>AT45/AT50</f>
        <v>0.1</v>
      </c>
      <c r="AV45" s="5">
        <f>39/$AV$3</f>
        <v>0.1</v>
      </c>
      <c r="AX45">
        <v>12</v>
      </c>
      <c r="AY45" s="5">
        <f>AX45/AX50</f>
        <v>9.2307692307692313E-2</v>
      </c>
      <c r="AZ45" s="5">
        <f>12/$AZ$3</f>
        <v>9.2307692307692313E-2</v>
      </c>
      <c r="BB45">
        <v>47</v>
      </c>
      <c r="BC45" s="5">
        <f>BB45/BB50</f>
        <v>0.11576354679802955</v>
      </c>
      <c r="BD45" s="5">
        <f>47/$BD$3</f>
        <v>0.11576354679802955</v>
      </c>
      <c r="BF45">
        <v>45</v>
      </c>
      <c r="BG45" s="5">
        <f>BF45/BF50</f>
        <v>0.12096774193548387</v>
      </c>
      <c r="BH45" s="5">
        <f>45/$BH$3</f>
        <v>0.12096774193548387</v>
      </c>
      <c r="BJ45">
        <v>25</v>
      </c>
      <c r="BK45" s="5">
        <f>BJ45/BJ50</f>
        <v>0.11261261261261261</v>
      </c>
      <c r="BL45" s="5">
        <f>25/$BL$3</f>
        <v>0.11261261261261261</v>
      </c>
      <c r="BN45">
        <v>39</v>
      </c>
      <c r="BO45" s="5">
        <f>BN45/BN50</f>
        <v>0.10263157894736842</v>
      </c>
      <c r="BP45" s="5">
        <f>39/$BP$3</f>
        <v>0.10263157894736842</v>
      </c>
      <c r="BR45">
        <v>46</v>
      </c>
      <c r="BS45" s="5">
        <f>BR45/BR50</f>
        <v>0.12432432432432433</v>
      </c>
      <c r="BT45" s="5">
        <f>46/$BT$3</f>
        <v>0.12432432432432433</v>
      </c>
      <c r="BV45">
        <v>32</v>
      </c>
      <c r="BW45" s="5">
        <f>BV45/BV50</f>
        <v>0.128</v>
      </c>
      <c r="BX45" s="5">
        <f>32/$BX$3</f>
        <v>0.128</v>
      </c>
      <c r="BZ45">
        <v>29</v>
      </c>
      <c r="CA45" s="5">
        <f>BZ45/BZ50</f>
        <v>0.11600000000000001</v>
      </c>
      <c r="CB45" s="5">
        <f>29/$CB$3</f>
        <v>0.11600000000000001</v>
      </c>
      <c r="CD45">
        <v>23</v>
      </c>
      <c r="CE45" s="5">
        <f>CD45/CD50</f>
        <v>0.10952380952380952</v>
      </c>
      <c r="CF45" s="5">
        <f>23/$CF$3</f>
        <v>0.10952380952380952</v>
      </c>
      <c r="CH45">
        <v>31</v>
      </c>
      <c r="CI45" s="5">
        <f>CH45/CH50</f>
        <v>0.1409090909090909</v>
      </c>
      <c r="CJ45" s="5">
        <f>31/$CJ$3</f>
        <v>0.1409090909090909</v>
      </c>
      <c r="CL45">
        <v>34</v>
      </c>
      <c r="CM45" s="5">
        <f>CL45/CL50</f>
        <v>0.10625</v>
      </c>
      <c r="CN45" s="5">
        <f>34/$CN$3</f>
        <v>0.10625</v>
      </c>
    </row>
    <row r="46" spans="1:93" x14ac:dyDescent="0.25">
      <c r="A46" s="1" t="s">
        <v>572</v>
      </c>
      <c r="B46">
        <v>40</v>
      </c>
      <c r="C46" s="5">
        <f>B46/B50</f>
        <v>0.04</v>
      </c>
      <c r="D46" s="5">
        <f>40/$D$3</f>
        <v>0.04</v>
      </c>
      <c r="F46">
        <v>17</v>
      </c>
      <c r="G46" s="5">
        <f>F46/F50</f>
        <v>3.6016949152542374E-2</v>
      </c>
      <c r="H46" s="5">
        <f>17/$H$3</f>
        <v>3.6016949152542374E-2</v>
      </c>
      <c r="J46">
        <v>16</v>
      </c>
      <c r="K46" s="5">
        <f>J46/J50</f>
        <v>5.6140350877192984E-2</v>
      </c>
      <c r="L46" s="5">
        <f>16/$L$3</f>
        <v>5.6140350877192984E-2</v>
      </c>
      <c r="N46">
        <v>10</v>
      </c>
      <c r="O46" s="5">
        <f>N46/N50</f>
        <v>4.3103448275862072E-2</v>
      </c>
      <c r="P46" s="5">
        <f>10/$P$3</f>
        <v>4.3103448275862072E-2</v>
      </c>
      <c r="R46">
        <v>9</v>
      </c>
      <c r="S46" s="5">
        <f>R46/R50</f>
        <v>3.0612244897959183E-2</v>
      </c>
      <c r="T46" s="5">
        <f>9/$T$3</f>
        <v>3.0612244897959183E-2</v>
      </c>
      <c r="V46">
        <v>15</v>
      </c>
      <c r="W46" s="5">
        <f>V46/V50</f>
        <v>3.6057692307692304E-2</v>
      </c>
      <c r="X46" s="5">
        <f>15/$X$3</f>
        <v>3.6057692307692304E-2</v>
      </c>
      <c r="Z46">
        <v>15</v>
      </c>
      <c r="AA46" s="5">
        <f>Z46/Z50</f>
        <v>3.5714285714285712E-2</v>
      </c>
      <c r="AB46" s="5">
        <f>15/$AB$3</f>
        <v>3.5714285714285712E-2</v>
      </c>
      <c r="AD46">
        <v>23</v>
      </c>
      <c r="AE46" s="5">
        <f>AD46/AD50</f>
        <v>4.5999999999999999E-2</v>
      </c>
      <c r="AF46" s="5">
        <f>23/$AF$3</f>
        <v>4.5999999999999999E-2</v>
      </c>
      <c r="AH46">
        <v>17</v>
      </c>
      <c r="AI46" s="5">
        <f>AH46/AH50</f>
        <v>3.4000000000000002E-2</v>
      </c>
      <c r="AJ46" s="5">
        <f>17/$AJ$3</f>
        <v>3.4000000000000002E-2</v>
      </c>
      <c r="AL46">
        <v>6</v>
      </c>
      <c r="AM46" s="5">
        <f>AL46/AL50</f>
        <v>3.5502958579881658E-2</v>
      </c>
      <c r="AN46" s="5">
        <f>6/$AN$3</f>
        <v>3.5502958579881658E-2</v>
      </c>
      <c r="AP46">
        <v>14</v>
      </c>
      <c r="AQ46" s="5">
        <f>AP46/AP50</f>
        <v>4.5016077170418008E-2</v>
      </c>
      <c r="AR46" s="5">
        <f>14/$AR$3</f>
        <v>4.5016077170418008E-2</v>
      </c>
      <c r="AT46">
        <v>16</v>
      </c>
      <c r="AU46" s="5">
        <f>AT46/AT50</f>
        <v>4.1025641025641026E-2</v>
      </c>
      <c r="AV46" s="5">
        <f>16/$AV$3</f>
        <v>4.1025641025641026E-2</v>
      </c>
      <c r="AX46">
        <v>4</v>
      </c>
      <c r="AY46" s="5">
        <f>AX46/AX50</f>
        <v>3.0769230769230771E-2</v>
      </c>
      <c r="AZ46" s="5">
        <f>4/$AZ$3</f>
        <v>3.0769230769230771E-2</v>
      </c>
      <c r="BB46">
        <v>15</v>
      </c>
      <c r="BC46" s="5">
        <f>BB46/BB50</f>
        <v>3.6945812807881777E-2</v>
      </c>
      <c r="BD46" s="5">
        <f>15/$BD$3</f>
        <v>3.6945812807881777E-2</v>
      </c>
      <c r="BF46">
        <v>21</v>
      </c>
      <c r="BG46" s="5">
        <f>BF46/BF50</f>
        <v>5.6451612903225805E-2</v>
      </c>
      <c r="BH46" s="5">
        <f>21/$BH$3</f>
        <v>5.6451612903225805E-2</v>
      </c>
      <c r="BJ46">
        <v>4</v>
      </c>
      <c r="BK46" s="5">
        <f>BJ46/BJ50</f>
        <v>1.8018018018018018E-2</v>
      </c>
      <c r="BL46" s="5">
        <f>4/$BL$3</f>
        <v>1.8018018018018018E-2</v>
      </c>
      <c r="BN46">
        <v>16</v>
      </c>
      <c r="BO46" s="5">
        <f>BN46/BN50</f>
        <v>4.2105263157894736E-2</v>
      </c>
      <c r="BP46" s="5">
        <f>16/$BP$3</f>
        <v>4.2105263157894736E-2</v>
      </c>
      <c r="BR46">
        <v>15</v>
      </c>
      <c r="BS46" s="5">
        <f>BR46/BR50</f>
        <v>4.0540540540540543E-2</v>
      </c>
      <c r="BT46" s="5">
        <f>15/$BT$3</f>
        <v>4.0540540540540543E-2</v>
      </c>
      <c r="BV46">
        <v>9</v>
      </c>
      <c r="BW46" s="5">
        <f>BV46/BV50</f>
        <v>3.5999999999999997E-2</v>
      </c>
      <c r="BX46" s="5">
        <f>9/$BX$3</f>
        <v>3.5999999999999997E-2</v>
      </c>
      <c r="BZ46">
        <v>10</v>
      </c>
      <c r="CA46" s="5">
        <f>BZ46/BZ50</f>
        <v>0.04</v>
      </c>
      <c r="CB46" s="5">
        <f>10/$CB$3</f>
        <v>0.04</v>
      </c>
      <c r="CD46">
        <v>8</v>
      </c>
      <c r="CE46" s="5">
        <f>CD46/CD50</f>
        <v>3.8095238095238099E-2</v>
      </c>
      <c r="CF46" s="5">
        <f>8/$CF$3</f>
        <v>3.8095238095238099E-2</v>
      </c>
      <c r="CH46">
        <v>9</v>
      </c>
      <c r="CI46" s="5">
        <f>CH46/CH50</f>
        <v>4.0909090909090909E-2</v>
      </c>
      <c r="CJ46" s="5">
        <f>9/$CJ$3</f>
        <v>4.0909090909090909E-2</v>
      </c>
      <c r="CL46">
        <v>13</v>
      </c>
      <c r="CM46" s="5">
        <f>CL46/CL50</f>
        <v>4.0625000000000001E-2</v>
      </c>
      <c r="CN46" s="5">
        <f>13/$CN$3</f>
        <v>4.0625000000000001E-2</v>
      </c>
    </row>
    <row r="47" spans="1:93" x14ac:dyDescent="0.25">
      <c r="A47" s="1" t="s">
        <v>573</v>
      </c>
      <c r="B47">
        <v>172</v>
      </c>
      <c r="C47" s="5">
        <f>B47/B50</f>
        <v>0.17199999999999999</v>
      </c>
      <c r="D47" s="5">
        <f>172/$D$3</f>
        <v>0.17199999999999999</v>
      </c>
      <c r="F47">
        <v>108</v>
      </c>
      <c r="G47" s="5">
        <f>F47/F50</f>
        <v>0.2288135593220339</v>
      </c>
      <c r="H47" s="10">
        <f>108/$H$3</f>
        <v>0.2288135593220339</v>
      </c>
      <c r="J47">
        <v>63</v>
      </c>
      <c r="K47" s="5">
        <f>J47/J50</f>
        <v>0.22105263157894736</v>
      </c>
      <c r="L47" s="5">
        <f>63/$L$3</f>
        <v>0.22105263157894736</v>
      </c>
      <c r="N47">
        <v>51</v>
      </c>
      <c r="O47" s="5">
        <f>N47/N50</f>
        <v>0.21982758620689655</v>
      </c>
      <c r="P47" s="5">
        <f>51/$P$3</f>
        <v>0.21982758620689655</v>
      </c>
      <c r="R47">
        <v>89</v>
      </c>
      <c r="S47" s="5">
        <f>R47/R50</f>
        <v>0.30272108843537415</v>
      </c>
      <c r="T47" s="10">
        <f>89/$T$3</f>
        <v>0.30272108843537415</v>
      </c>
      <c r="V47">
        <v>97</v>
      </c>
      <c r="W47" s="5">
        <f>V47/V50</f>
        <v>0.23317307692307693</v>
      </c>
      <c r="X47" s="10">
        <f>97/$X$3</f>
        <v>0.23317307692307693</v>
      </c>
      <c r="Z47">
        <v>101</v>
      </c>
      <c r="AA47" s="5">
        <f>Z47/Z50</f>
        <v>0.24047619047619048</v>
      </c>
      <c r="AB47" s="10">
        <f>101/$AB$3</f>
        <v>0.24047619047619048</v>
      </c>
      <c r="AD47">
        <v>94</v>
      </c>
      <c r="AE47" s="5">
        <f>AD47/AD50</f>
        <v>0.188</v>
      </c>
      <c r="AF47" s="5">
        <f>94/$AF$3</f>
        <v>0.188</v>
      </c>
      <c r="AH47">
        <v>78</v>
      </c>
      <c r="AI47" s="5">
        <f>AH47/AH50</f>
        <v>0.156</v>
      </c>
      <c r="AJ47" s="5">
        <f>78/$AJ$3</f>
        <v>0.156</v>
      </c>
      <c r="AL47">
        <v>34</v>
      </c>
      <c r="AM47" s="5">
        <f>AL47/AL50</f>
        <v>0.20118343195266272</v>
      </c>
      <c r="AN47" s="5">
        <f>34/$AN$3</f>
        <v>0.20118343195266272</v>
      </c>
      <c r="AP47">
        <v>59</v>
      </c>
      <c r="AQ47" s="5">
        <f>AP47/AP50</f>
        <v>0.18971061093247588</v>
      </c>
      <c r="AR47" s="5">
        <f>59/$AR$3</f>
        <v>0.18971061093247588</v>
      </c>
      <c r="AT47">
        <v>59</v>
      </c>
      <c r="AU47" s="5">
        <f>AT47/AT50</f>
        <v>0.15128205128205127</v>
      </c>
      <c r="AV47" s="5">
        <f>59/$AV$3</f>
        <v>0.15128205128205127</v>
      </c>
      <c r="AX47">
        <v>20</v>
      </c>
      <c r="AY47" s="5">
        <f>AX47/AX50</f>
        <v>0.15384615384615385</v>
      </c>
      <c r="AZ47" s="5">
        <f>20/$AZ$3</f>
        <v>0.15384615384615385</v>
      </c>
      <c r="BB47">
        <v>77</v>
      </c>
      <c r="BC47" s="5">
        <f>BB47/BB50</f>
        <v>0.18965517241379309</v>
      </c>
      <c r="BD47" s="5">
        <f>77/$BD$3</f>
        <v>0.18965517241379309</v>
      </c>
      <c r="BF47">
        <v>65</v>
      </c>
      <c r="BG47" s="5">
        <f>BF47/BF50</f>
        <v>0.17473118279569894</v>
      </c>
      <c r="BH47" s="5">
        <f>65/$BH$3</f>
        <v>0.17473118279569894</v>
      </c>
      <c r="BJ47">
        <v>30</v>
      </c>
      <c r="BK47" s="5">
        <f>BJ47/BJ50</f>
        <v>0.13513513513513514</v>
      </c>
      <c r="BL47" s="5">
        <f>30/$BL$3</f>
        <v>0.13513513513513514</v>
      </c>
      <c r="BN47">
        <v>57</v>
      </c>
      <c r="BO47" s="5">
        <f>BN47/BN50</f>
        <v>0.15</v>
      </c>
      <c r="BP47" s="5">
        <f>57/$BP$3</f>
        <v>0.15</v>
      </c>
      <c r="BR47">
        <v>70</v>
      </c>
      <c r="BS47" s="5">
        <f>BR47/BR50</f>
        <v>0.1891891891891892</v>
      </c>
      <c r="BT47" s="5">
        <f>70/$BT$3</f>
        <v>0.1891891891891892</v>
      </c>
      <c r="BV47">
        <v>45</v>
      </c>
      <c r="BW47" s="5">
        <f>BV47/BV50</f>
        <v>0.18</v>
      </c>
      <c r="BX47" s="5">
        <f>45/$BX$3</f>
        <v>0.18</v>
      </c>
      <c r="BZ47">
        <v>46</v>
      </c>
      <c r="CA47" s="5">
        <f>BZ47/BZ50</f>
        <v>0.184</v>
      </c>
      <c r="CB47" s="5">
        <f>46/$CB$3</f>
        <v>0.184</v>
      </c>
      <c r="CD47">
        <v>34</v>
      </c>
      <c r="CE47" s="5">
        <f>CD47/CD50</f>
        <v>0.16190476190476191</v>
      </c>
      <c r="CF47" s="5">
        <f>34/$CF$3</f>
        <v>0.16190476190476191</v>
      </c>
      <c r="CH47">
        <v>46</v>
      </c>
      <c r="CI47" s="5">
        <f>CH47/CH50</f>
        <v>0.20909090909090908</v>
      </c>
      <c r="CJ47" s="5">
        <f>46/$CJ$3</f>
        <v>0.20909090909090908</v>
      </c>
      <c r="CL47">
        <v>46</v>
      </c>
      <c r="CM47" s="5">
        <f>CL47/CL50</f>
        <v>0.14374999999999999</v>
      </c>
      <c r="CN47" s="5">
        <f>46/$CN$3</f>
        <v>0.14374999999999999</v>
      </c>
    </row>
    <row r="48" spans="1:93" x14ac:dyDescent="0.25">
      <c r="A48" s="1" t="s">
        <v>574</v>
      </c>
      <c r="B48">
        <v>446</v>
      </c>
      <c r="C48" s="5">
        <f>B48/B50</f>
        <v>0.44600000000000001</v>
      </c>
      <c r="D48" s="5">
        <f>446/$D$3</f>
        <v>0.44600000000000001</v>
      </c>
      <c r="F48">
        <v>253</v>
      </c>
      <c r="G48" s="5">
        <f>F48/F50</f>
        <v>0.53601694915254239</v>
      </c>
      <c r="H48" s="10">
        <f>253/$H$3</f>
        <v>0.53601694915254239</v>
      </c>
      <c r="J48">
        <v>161</v>
      </c>
      <c r="K48" s="5">
        <f>J48/J50</f>
        <v>0.56491228070175437</v>
      </c>
      <c r="L48" s="10">
        <f>161/$L$3</f>
        <v>0.56491228070175437</v>
      </c>
      <c r="N48">
        <v>134</v>
      </c>
      <c r="O48" s="5">
        <f>N48/N50</f>
        <v>0.57758620689655171</v>
      </c>
      <c r="P48" s="10">
        <f>134/$P$3</f>
        <v>0.57758620689655171</v>
      </c>
      <c r="R48">
        <v>193</v>
      </c>
      <c r="S48" s="5">
        <f>R48/R50</f>
        <v>0.65646258503401356</v>
      </c>
      <c r="T48" s="10">
        <f>193/$T$3</f>
        <v>0.65646258503401356</v>
      </c>
      <c r="V48">
        <v>231</v>
      </c>
      <c r="W48" s="5">
        <f>V48/V50</f>
        <v>0.55528846153846156</v>
      </c>
      <c r="X48" s="10">
        <f>231/$X$3</f>
        <v>0.55528846153846156</v>
      </c>
      <c r="Z48">
        <v>238</v>
      </c>
      <c r="AA48" s="5">
        <f>Z48/Z50</f>
        <v>0.56666666666666665</v>
      </c>
      <c r="AB48" s="10">
        <f>238/$AB$3</f>
        <v>0.56666666666666665</v>
      </c>
      <c r="AD48">
        <v>227</v>
      </c>
      <c r="AE48" s="5">
        <f>AD48/AD50</f>
        <v>0.45400000000000001</v>
      </c>
      <c r="AF48" s="5">
        <f>227/$AF$3</f>
        <v>0.45400000000000001</v>
      </c>
      <c r="AH48">
        <v>219</v>
      </c>
      <c r="AI48" s="5">
        <f>AH48/AH50</f>
        <v>0.438</v>
      </c>
      <c r="AJ48" s="5">
        <f>219/$AJ$3</f>
        <v>0.438</v>
      </c>
      <c r="AL48">
        <v>90</v>
      </c>
      <c r="AM48" s="5">
        <f>AL48/AL50</f>
        <v>0.53254437869822491</v>
      </c>
      <c r="AN48" s="10">
        <f>90/$AN$3</f>
        <v>0.53254437869822491</v>
      </c>
      <c r="AO48" s="12"/>
      <c r="AP48">
        <v>137</v>
      </c>
      <c r="AQ48" s="5">
        <f>AP48/AP50</f>
        <v>0.44051446945337619</v>
      </c>
      <c r="AR48" s="5">
        <f>137/$AR$3</f>
        <v>0.44051446945337619</v>
      </c>
      <c r="AT48">
        <v>159</v>
      </c>
      <c r="AU48" s="5">
        <f>AT48/AT50</f>
        <v>0.40769230769230769</v>
      </c>
      <c r="AV48" s="5">
        <f>159/$AV$3</f>
        <v>0.40769230769230769</v>
      </c>
      <c r="AX48">
        <v>60</v>
      </c>
      <c r="AY48" s="5">
        <f>AX48/AX50</f>
        <v>0.46153846153846156</v>
      </c>
      <c r="AZ48" s="5">
        <f>60/$AZ$3</f>
        <v>0.46153846153846156</v>
      </c>
      <c r="BB48">
        <v>161</v>
      </c>
      <c r="BC48" s="5">
        <f>BB48/BB50</f>
        <v>0.39655172413793105</v>
      </c>
      <c r="BD48" s="5">
        <f>161/$BD$3</f>
        <v>0.39655172413793105</v>
      </c>
      <c r="BF48">
        <v>175</v>
      </c>
      <c r="BG48" s="5">
        <f>BF48/BF50</f>
        <v>0.47043010752688175</v>
      </c>
      <c r="BH48" s="5">
        <f>175/$BH$3</f>
        <v>0.47043010752688175</v>
      </c>
      <c r="BJ48">
        <v>110</v>
      </c>
      <c r="BK48" s="5">
        <f>BJ48/BJ50</f>
        <v>0.49549549549549549</v>
      </c>
      <c r="BL48" s="5">
        <f>110/$BL$3</f>
        <v>0.49549549549549549</v>
      </c>
      <c r="BN48">
        <v>165</v>
      </c>
      <c r="BO48" s="5">
        <f>BN48/BN50</f>
        <v>0.43421052631578949</v>
      </c>
      <c r="BP48" s="5">
        <f>165/$BP$3</f>
        <v>0.43421052631578949</v>
      </c>
      <c r="BR48">
        <v>164</v>
      </c>
      <c r="BS48" s="5">
        <f>BR48/BR50</f>
        <v>0.44324324324324327</v>
      </c>
      <c r="BT48" s="5">
        <f>164/$BT$3</f>
        <v>0.44324324324324327</v>
      </c>
      <c r="BV48">
        <v>117</v>
      </c>
      <c r="BW48" s="5">
        <f>BV48/BV50</f>
        <v>0.46800000000000003</v>
      </c>
      <c r="BX48" s="5">
        <f>117/$BX$3</f>
        <v>0.46800000000000003</v>
      </c>
      <c r="BZ48">
        <v>93</v>
      </c>
      <c r="CA48" s="5">
        <f>BZ48/BZ50</f>
        <v>0.372</v>
      </c>
      <c r="CB48" s="11">
        <f>93/$CB$3</f>
        <v>0.372</v>
      </c>
      <c r="CD48">
        <v>81</v>
      </c>
      <c r="CE48" s="5">
        <f>CD48/CD50</f>
        <v>0.38571428571428573</v>
      </c>
      <c r="CF48" s="11">
        <f>81/$CF$3</f>
        <v>0.38571428571428573</v>
      </c>
      <c r="CH48">
        <v>118</v>
      </c>
      <c r="CI48" s="5">
        <f>CH48/CH50</f>
        <v>0.53636363636363638</v>
      </c>
      <c r="CJ48" s="10">
        <f>118/$CJ$3</f>
        <v>0.53636363636363638</v>
      </c>
      <c r="CK48" s="12"/>
      <c r="CL48">
        <v>154</v>
      </c>
      <c r="CM48" s="5">
        <f>CL48/CL50</f>
        <v>0.48125000000000001</v>
      </c>
      <c r="CN48" s="5">
        <f>154/$CN$3</f>
        <v>0.48125000000000001</v>
      </c>
    </row>
    <row r="49" spans="1:92" x14ac:dyDescent="0.25">
      <c r="A49" s="1" t="s">
        <v>12</v>
      </c>
      <c r="B49">
        <v>383</v>
      </c>
      <c r="C49" s="5">
        <f>B49/B50</f>
        <v>0.38300000000000001</v>
      </c>
      <c r="D49" s="5">
        <f>383/$D$3</f>
        <v>0.38300000000000001</v>
      </c>
      <c r="F49">
        <v>145</v>
      </c>
      <c r="G49" s="5">
        <f>F49/F50</f>
        <v>0.30720338983050849</v>
      </c>
      <c r="H49" s="11">
        <f>145/$H$3</f>
        <v>0.30720338983050849</v>
      </c>
      <c r="J49">
        <v>84</v>
      </c>
      <c r="K49" s="5">
        <f>J49/J50</f>
        <v>0.29473684210526313</v>
      </c>
      <c r="L49" s="11">
        <f>84/$L$3</f>
        <v>0.29473684210526313</v>
      </c>
      <c r="N49">
        <v>62</v>
      </c>
      <c r="O49" s="5">
        <f>N49/N50</f>
        <v>0.26724137931034481</v>
      </c>
      <c r="P49" s="11">
        <f>62/$P$3</f>
        <v>0.26724137931034481</v>
      </c>
      <c r="R49">
        <v>53</v>
      </c>
      <c r="S49" s="5">
        <f>R49/R50</f>
        <v>0.18027210884353742</v>
      </c>
      <c r="T49" s="11">
        <f>53/$T$3</f>
        <v>0.18027210884353742</v>
      </c>
      <c r="V49">
        <v>125</v>
      </c>
      <c r="W49" s="5">
        <f>V49/V50</f>
        <v>0.30048076923076922</v>
      </c>
      <c r="X49" s="11">
        <f>125/$X$3</f>
        <v>0.30048076923076922</v>
      </c>
      <c r="Z49">
        <v>119</v>
      </c>
      <c r="AA49" s="5">
        <f>Z49/Z50</f>
        <v>0.28333333333333333</v>
      </c>
      <c r="AB49" s="11">
        <f>119/$AB$3</f>
        <v>0.28333333333333333</v>
      </c>
      <c r="AD49">
        <v>190</v>
      </c>
      <c r="AE49" s="5">
        <f>AD49/AD50</f>
        <v>0.38</v>
      </c>
      <c r="AF49" s="5">
        <f>190/$AF$3</f>
        <v>0.38</v>
      </c>
      <c r="AH49">
        <v>193</v>
      </c>
      <c r="AI49" s="5">
        <f>AH49/AH50</f>
        <v>0.38600000000000001</v>
      </c>
      <c r="AJ49" s="5">
        <f>193/$AJ$3</f>
        <v>0.38600000000000001</v>
      </c>
      <c r="AL49">
        <v>51</v>
      </c>
      <c r="AM49" s="5">
        <f>AL49/AL50</f>
        <v>0.30177514792899407</v>
      </c>
      <c r="AN49" s="11">
        <f>51/$AN$3</f>
        <v>0.30177514792899407</v>
      </c>
      <c r="AP49">
        <v>123</v>
      </c>
      <c r="AQ49" s="5">
        <f>AP49/AP50</f>
        <v>0.39549839228295819</v>
      </c>
      <c r="AR49" s="5">
        <f>123/$AR$3</f>
        <v>0.39549839228295819</v>
      </c>
      <c r="AT49">
        <v>160</v>
      </c>
      <c r="AU49" s="5">
        <f>AT49/AT50</f>
        <v>0.41025641025641024</v>
      </c>
      <c r="AV49" s="5">
        <f>160/$AV$3</f>
        <v>0.41025641025641024</v>
      </c>
      <c r="AX49">
        <v>49</v>
      </c>
      <c r="AY49" s="5">
        <f>AX49/AX50</f>
        <v>0.37692307692307692</v>
      </c>
      <c r="AZ49" s="5">
        <f>49/$AZ$3</f>
        <v>0.37692307692307692</v>
      </c>
      <c r="BB49">
        <v>169</v>
      </c>
      <c r="BC49" s="5">
        <f>BB49/BB50</f>
        <v>0.41625615763546797</v>
      </c>
      <c r="BD49" s="5">
        <f>169/$BD$3</f>
        <v>0.41625615763546797</v>
      </c>
      <c r="BF49">
        <v>133</v>
      </c>
      <c r="BG49" s="5">
        <f>BF49/BF50</f>
        <v>0.35752688172043012</v>
      </c>
      <c r="BH49" s="5">
        <f>133/$BH$3</f>
        <v>0.35752688172043012</v>
      </c>
      <c r="BJ49">
        <v>81</v>
      </c>
      <c r="BK49" s="5">
        <f>BJ49/BJ50</f>
        <v>0.36486486486486486</v>
      </c>
      <c r="BL49" s="5">
        <f>81/$BL$3</f>
        <v>0.36486486486486486</v>
      </c>
      <c r="BN49">
        <v>154</v>
      </c>
      <c r="BO49" s="5">
        <f>BN49/BN50</f>
        <v>0.40526315789473683</v>
      </c>
      <c r="BP49" s="5">
        <f>154/$BP$3</f>
        <v>0.40526315789473683</v>
      </c>
      <c r="BR49">
        <v>139</v>
      </c>
      <c r="BS49" s="5">
        <f>BR49/BR50</f>
        <v>0.37567567567567567</v>
      </c>
      <c r="BT49" s="5">
        <f>139/$BT$3</f>
        <v>0.37567567567567567</v>
      </c>
      <c r="BV49">
        <v>90</v>
      </c>
      <c r="BW49" s="5">
        <f>BV49/BV50</f>
        <v>0.36</v>
      </c>
      <c r="BX49" s="5">
        <f>90/$BX$3</f>
        <v>0.36</v>
      </c>
      <c r="BZ49">
        <v>110</v>
      </c>
      <c r="CA49" s="5">
        <f>BZ49/BZ50</f>
        <v>0.44</v>
      </c>
      <c r="CB49" s="10">
        <f>110/$CB$3</f>
        <v>0.44</v>
      </c>
      <c r="CC49" s="12"/>
      <c r="CD49">
        <v>95</v>
      </c>
      <c r="CE49" s="5">
        <f>CD49/CD50</f>
        <v>0.45238095238095238</v>
      </c>
      <c r="CF49" s="10">
        <f>95/$CF$3</f>
        <v>0.45238095238095238</v>
      </c>
      <c r="CG49" s="12"/>
      <c r="CH49">
        <v>66</v>
      </c>
      <c r="CI49" s="5">
        <f>CH49/CH50</f>
        <v>0.3</v>
      </c>
      <c r="CJ49" s="11">
        <f>66/$CJ$3</f>
        <v>0.3</v>
      </c>
      <c r="CL49">
        <v>112</v>
      </c>
      <c r="CM49" s="5">
        <f>CL49/CL50</f>
        <v>0.35</v>
      </c>
      <c r="CN49" s="5">
        <f>112/$CN$3</f>
        <v>0.35</v>
      </c>
    </row>
    <row r="50" spans="1:92" s="6" customFormat="1" x14ac:dyDescent="0.25">
      <c r="A50" s="7" t="s">
        <v>13</v>
      </c>
      <c r="B50" s="6">
        <v>1000</v>
      </c>
      <c r="F50" s="6">
        <v>472</v>
      </c>
      <c r="J50" s="6">
        <v>285</v>
      </c>
      <c r="N50" s="6">
        <v>232</v>
      </c>
      <c r="R50" s="6">
        <v>294</v>
      </c>
      <c r="V50" s="6">
        <v>416</v>
      </c>
      <c r="Z50" s="6">
        <v>420</v>
      </c>
      <c r="AD50" s="6">
        <v>500</v>
      </c>
      <c r="AH50" s="6">
        <v>500</v>
      </c>
      <c r="AL50" s="6">
        <v>169</v>
      </c>
      <c r="AP50" s="6">
        <v>311</v>
      </c>
      <c r="AT50" s="6">
        <v>390</v>
      </c>
      <c r="AX50" s="6">
        <v>130</v>
      </c>
      <c r="BB50" s="6">
        <v>406</v>
      </c>
      <c r="BF50" s="6">
        <v>372</v>
      </c>
      <c r="BJ50" s="6">
        <v>222</v>
      </c>
      <c r="BN50" s="6">
        <v>380</v>
      </c>
      <c r="BR50" s="6">
        <v>370</v>
      </c>
      <c r="BV50" s="6">
        <v>250</v>
      </c>
      <c r="BZ50" s="6">
        <v>250</v>
      </c>
      <c r="CD50" s="6">
        <v>210</v>
      </c>
      <c r="CH50" s="6">
        <v>220</v>
      </c>
      <c r="CL50" s="6">
        <v>320</v>
      </c>
    </row>
    <row r="51" spans="1:92" hidden="1" x14ac:dyDescent="0.25">
      <c r="A51" s="8" t="s">
        <v>14</v>
      </c>
      <c r="B51">
        <v>0</v>
      </c>
      <c r="F51">
        <v>0</v>
      </c>
      <c r="J51">
        <v>0</v>
      </c>
      <c r="N51">
        <v>0</v>
      </c>
      <c r="R51">
        <v>0</v>
      </c>
      <c r="V51">
        <v>0</v>
      </c>
      <c r="Z51">
        <v>0</v>
      </c>
      <c r="AD51">
        <v>0</v>
      </c>
      <c r="AH51">
        <v>0</v>
      </c>
      <c r="AL51">
        <v>0</v>
      </c>
      <c r="AP51">
        <v>0</v>
      </c>
      <c r="AT51">
        <v>0</v>
      </c>
      <c r="AX51">
        <v>0</v>
      </c>
      <c r="BB51">
        <v>0</v>
      </c>
      <c r="BF51">
        <v>0</v>
      </c>
      <c r="BJ51">
        <v>0</v>
      </c>
      <c r="BN51">
        <v>0</v>
      </c>
      <c r="BR51">
        <v>0</v>
      </c>
      <c r="BV51">
        <v>0</v>
      </c>
      <c r="BZ51">
        <v>0</v>
      </c>
      <c r="CD51">
        <v>0</v>
      </c>
      <c r="CH51">
        <v>0</v>
      </c>
      <c r="CL51">
        <v>0</v>
      </c>
    </row>
    <row r="52" spans="1:92" hidden="1" x14ac:dyDescent="0.25">
      <c r="A52" s="8" t="s">
        <v>15</v>
      </c>
      <c r="B52">
        <v>0</v>
      </c>
      <c r="F52">
        <v>0</v>
      </c>
      <c r="J52">
        <v>0</v>
      </c>
      <c r="N52">
        <v>0</v>
      </c>
      <c r="R52">
        <v>0</v>
      </c>
      <c r="V52">
        <v>0</v>
      </c>
      <c r="Z52">
        <v>0</v>
      </c>
      <c r="AD52">
        <v>0</v>
      </c>
      <c r="AH52">
        <v>0</v>
      </c>
      <c r="AL52">
        <v>0</v>
      </c>
      <c r="AP52">
        <v>0</v>
      </c>
      <c r="AT52">
        <v>0</v>
      </c>
      <c r="AX52">
        <v>0</v>
      </c>
      <c r="BB52">
        <v>0</v>
      </c>
      <c r="BF52">
        <v>0</v>
      </c>
      <c r="BJ52">
        <v>0</v>
      </c>
      <c r="BN52">
        <v>0</v>
      </c>
      <c r="BR52">
        <v>0</v>
      </c>
      <c r="BV52">
        <v>0</v>
      </c>
      <c r="BZ52">
        <v>0</v>
      </c>
      <c r="CD52">
        <v>0</v>
      </c>
      <c r="CH52">
        <v>0</v>
      </c>
      <c r="CL52">
        <v>0</v>
      </c>
    </row>
    <row r="54" spans="1:92" x14ac:dyDescent="0.25">
      <c r="AN54" s="2" t="s">
        <v>5</v>
      </c>
      <c r="AR54" s="2" t="s">
        <v>6</v>
      </c>
      <c r="AV54" s="2" t="s">
        <v>7</v>
      </c>
      <c r="AZ54" s="2" t="s">
        <v>8</v>
      </c>
      <c r="BD54" s="2" t="s">
        <v>5</v>
      </c>
      <c r="BH54" s="2" t="s">
        <v>6</v>
      </c>
      <c r="BL54" s="2" t="s">
        <v>7</v>
      </c>
      <c r="BP54" s="2" t="s">
        <v>5</v>
      </c>
      <c r="BT54" s="2" t="s">
        <v>6</v>
      </c>
      <c r="BX54" s="2" t="s">
        <v>7</v>
      </c>
      <c r="CB54" s="2" t="s">
        <v>5</v>
      </c>
      <c r="CF54" s="2" t="s">
        <v>6</v>
      </c>
      <c r="CJ54" s="2" t="s">
        <v>7</v>
      </c>
      <c r="CN54" s="2" t="s">
        <v>8</v>
      </c>
    </row>
    <row r="55" spans="1:92" s="3" customFormat="1" x14ac:dyDescent="0.25">
      <c r="A55" s="3" t="s">
        <v>575</v>
      </c>
      <c r="D55" s="4" t="s">
        <v>10</v>
      </c>
      <c r="H55" s="4" t="s">
        <v>10</v>
      </c>
      <c r="L55" s="4" t="s">
        <v>10</v>
      </c>
      <c r="P55" s="4" t="s">
        <v>10</v>
      </c>
      <c r="T55" s="4" t="s">
        <v>10</v>
      </c>
      <c r="X55" s="4" t="s">
        <v>10</v>
      </c>
      <c r="AB55" s="4" t="s">
        <v>10</v>
      </c>
      <c r="AF55" s="4" t="s">
        <v>10</v>
      </c>
      <c r="AJ55" s="4" t="s">
        <v>10</v>
      </c>
      <c r="AN55" s="4" t="s">
        <v>10</v>
      </c>
      <c r="AR55" s="4" t="s">
        <v>10</v>
      </c>
      <c r="AV55" s="4" t="s">
        <v>10</v>
      </c>
      <c r="AZ55" s="4" t="s">
        <v>10</v>
      </c>
      <c r="BD55" s="4" t="s">
        <v>10</v>
      </c>
      <c r="BH55" s="4" t="s">
        <v>10</v>
      </c>
      <c r="BL55" s="4" t="s">
        <v>10</v>
      </c>
      <c r="BP55" s="4" t="s">
        <v>10</v>
      </c>
      <c r="BT55" s="4" t="s">
        <v>10</v>
      </c>
      <c r="BX55" s="4" t="s">
        <v>10</v>
      </c>
      <c r="CB55" s="4" t="s">
        <v>10</v>
      </c>
      <c r="CF55" s="4" t="s">
        <v>10</v>
      </c>
      <c r="CJ55" s="4" t="s">
        <v>10</v>
      </c>
      <c r="CN55" s="4" t="s">
        <v>10</v>
      </c>
    </row>
    <row r="56" spans="1:92" x14ac:dyDescent="0.25">
      <c r="A56" s="1" t="s">
        <v>576</v>
      </c>
      <c r="B56">
        <v>533</v>
      </c>
      <c r="C56" s="5">
        <f>B56/B59</f>
        <v>0.53300000000000003</v>
      </c>
      <c r="D56" s="5">
        <f>533/$D$3</f>
        <v>0.53300000000000003</v>
      </c>
      <c r="F56">
        <v>294</v>
      </c>
      <c r="G56" s="5">
        <f>F56/F59</f>
        <v>0.6228813559322034</v>
      </c>
      <c r="H56" s="10">
        <f>294/$H$3</f>
        <v>0.6228813559322034</v>
      </c>
      <c r="J56">
        <v>191</v>
      </c>
      <c r="K56" s="5">
        <f>J56/J59</f>
        <v>0.6701754385964912</v>
      </c>
      <c r="L56" s="10">
        <f>191/$L$3</f>
        <v>0.6701754385964912</v>
      </c>
      <c r="N56">
        <v>168</v>
      </c>
      <c r="O56" s="5">
        <f>N56/N59</f>
        <v>0.72413793103448276</v>
      </c>
      <c r="P56" s="10">
        <f>168/$P$3</f>
        <v>0.72413793103448276</v>
      </c>
      <c r="R56">
        <v>294</v>
      </c>
      <c r="S56" s="5">
        <f>R56/R59</f>
        <v>1</v>
      </c>
      <c r="T56" s="10">
        <f>294/$T$3</f>
        <v>1</v>
      </c>
      <c r="V56">
        <v>272</v>
      </c>
      <c r="W56" s="5">
        <f>V56/V59</f>
        <v>0.65384615384615385</v>
      </c>
      <c r="X56" s="10">
        <f>272/$X$3</f>
        <v>0.65384615384615385</v>
      </c>
      <c r="Z56">
        <v>282</v>
      </c>
      <c r="AA56" s="5">
        <f>Z56/Z59</f>
        <v>0.67142857142857137</v>
      </c>
      <c r="AB56" s="10">
        <f>282/$AB$3</f>
        <v>0.67142857142857137</v>
      </c>
      <c r="AD56">
        <v>313</v>
      </c>
      <c r="AE56" s="5">
        <f>AD56/AD59</f>
        <v>0.626</v>
      </c>
      <c r="AF56" s="10">
        <f>313/$AF$3</f>
        <v>0.626</v>
      </c>
      <c r="AH56">
        <v>220</v>
      </c>
      <c r="AI56" s="5">
        <f>AH56/AH59</f>
        <v>0.44</v>
      </c>
      <c r="AJ56" s="11">
        <f>220/$AJ$3</f>
        <v>0.44</v>
      </c>
      <c r="AL56">
        <v>104</v>
      </c>
      <c r="AM56" s="5">
        <f>AL56/AL59</f>
        <v>0.61538461538461542</v>
      </c>
      <c r="AN56" s="10">
        <f>104/$AN$3</f>
        <v>0.61538461538461542</v>
      </c>
      <c r="AP56">
        <v>175</v>
      </c>
      <c r="AQ56" s="5">
        <f>AP56/AP59</f>
        <v>0.56270096463022512</v>
      </c>
      <c r="AR56" s="5">
        <f>175/$AR$3</f>
        <v>0.56270096463022512</v>
      </c>
      <c r="AT56">
        <v>193</v>
      </c>
      <c r="AU56" s="5">
        <f>AT56/AT59</f>
        <v>0.49487179487179489</v>
      </c>
      <c r="AV56" s="5">
        <f>193/$AV$3</f>
        <v>0.49487179487179489</v>
      </c>
      <c r="AX56">
        <v>61</v>
      </c>
      <c r="AY56" s="5">
        <f>AX56/AX59</f>
        <v>0.46923076923076923</v>
      </c>
      <c r="AZ56" s="5">
        <f>61/$AZ$3</f>
        <v>0.46923076923076923</v>
      </c>
      <c r="BB56">
        <v>200</v>
      </c>
      <c r="BC56" s="5">
        <f>BB56/BB59</f>
        <v>0.49261083743842365</v>
      </c>
      <c r="BD56" s="5">
        <f>200/$BD$3</f>
        <v>0.49261083743842365</v>
      </c>
      <c r="BF56">
        <v>203</v>
      </c>
      <c r="BG56" s="5">
        <f>BF56/BF59</f>
        <v>0.54569892473118276</v>
      </c>
      <c r="BH56" s="5">
        <f>203/$BH$3</f>
        <v>0.54569892473118276</v>
      </c>
      <c r="BJ56">
        <v>130</v>
      </c>
      <c r="BK56" s="5">
        <f>BJ56/BJ59</f>
        <v>0.5855855855855856</v>
      </c>
      <c r="BL56" s="5">
        <f>130/$BL$3</f>
        <v>0.5855855855855856</v>
      </c>
      <c r="BN56">
        <v>187</v>
      </c>
      <c r="BO56" s="5">
        <f>BN56/BN59</f>
        <v>0.49210526315789471</v>
      </c>
      <c r="BP56" s="5">
        <f>187/$BP$3</f>
        <v>0.49210526315789471</v>
      </c>
      <c r="BR56">
        <v>207</v>
      </c>
      <c r="BS56" s="5">
        <f>BR56/BR59</f>
        <v>0.55945945945945941</v>
      </c>
      <c r="BT56" s="5">
        <f>207/$BT$3</f>
        <v>0.55945945945945941</v>
      </c>
      <c r="BV56">
        <v>139</v>
      </c>
      <c r="BW56" s="5">
        <f>BV56/BV59</f>
        <v>0.55600000000000005</v>
      </c>
      <c r="BX56" s="5">
        <f>139/$BX$3</f>
        <v>0.55600000000000005</v>
      </c>
      <c r="BZ56">
        <v>123</v>
      </c>
      <c r="CA56" s="5">
        <f>BZ56/BZ59</f>
        <v>0.49199999999999999</v>
      </c>
      <c r="CB56" s="5">
        <f>123/$CB$3</f>
        <v>0.49199999999999999</v>
      </c>
      <c r="CD56">
        <v>102</v>
      </c>
      <c r="CE56" s="5">
        <f>CD56/CD59</f>
        <v>0.48571428571428571</v>
      </c>
      <c r="CF56" s="5">
        <f>102/$CF$3</f>
        <v>0.48571428571428571</v>
      </c>
      <c r="CH56">
        <v>125</v>
      </c>
      <c r="CI56" s="5">
        <f>CH56/CH59</f>
        <v>0.56818181818181823</v>
      </c>
      <c r="CJ56" s="5">
        <f>125/$CJ$3</f>
        <v>0.56818181818181823</v>
      </c>
      <c r="CL56">
        <v>183</v>
      </c>
      <c r="CM56" s="5">
        <f>CL56/CL59</f>
        <v>0.57187500000000002</v>
      </c>
      <c r="CN56" s="5">
        <f>183/$CN$3</f>
        <v>0.57187500000000002</v>
      </c>
    </row>
    <row r="57" spans="1:92" x14ac:dyDescent="0.25">
      <c r="A57" s="1" t="s">
        <v>577</v>
      </c>
      <c r="B57">
        <v>467</v>
      </c>
      <c r="C57" s="5">
        <f>B57/B59</f>
        <v>0.46700000000000003</v>
      </c>
      <c r="D57" s="5">
        <f>467/$D$3</f>
        <v>0.46700000000000003</v>
      </c>
      <c r="F57">
        <v>178</v>
      </c>
      <c r="G57" s="5">
        <f>F57/F59</f>
        <v>0.3771186440677966</v>
      </c>
      <c r="H57" s="11">
        <f>178/$H$3</f>
        <v>0.3771186440677966</v>
      </c>
      <c r="J57">
        <v>94</v>
      </c>
      <c r="K57" s="5">
        <f>J57/J59</f>
        <v>0.3298245614035088</v>
      </c>
      <c r="L57" s="11">
        <f>94/$L$3</f>
        <v>0.3298245614035088</v>
      </c>
      <c r="N57">
        <v>64</v>
      </c>
      <c r="O57" s="5">
        <f>N57/N59</f>
        <v>0.27586206896551724</v>
      </c>
      <c r="P57" s="11">
        <f>64/$P$3</f>
        <v>0.27586206896551724</v>
      </c>
      <c r="R57">
        <v>0</v>
      </c>
      <c r="S57" s="5">
        <f>R57/R59</f>
        <v>0</v>
      </c>
      <c r="T57" s="11">
        <f>0/$T$3</f>
        <v>0</v>
      </c>
      <c r="V57">
        <v>144</v>
      </c>
      <c r="W57" s="5">
        <f>V57/V59</f>
        <v>0.34615384615384615</v>
      </c>
      <c r="X57" s="11">
        <f>144/$X$3</f>
        <v>0.34615384615384615</v>
      </c>
      <c r="Z57">
        <v>138</v>
      </c>
      <c r="AA57" s="5">
        <f>Z57/Z59</f>
        <v>0.32857142857142857</v>
      </c>
      <c r="AB57" s="11">
        <f>138/$AB$3</f>
        <v>0.32857142857142857</v>
      </c>
      <c r="AD57">
        <v>187</v>
      </c>
      <c r="AE57" s="5">
        <f>AD57/AD59</f>
        <v>0.374</v>
      </c>
      <c r="AF57" s="11">
        <f>187/$AF$3</f>
        <v>0.374</v>
      </c>
      <c r="AH57">
        <v>280</v>
      </c>
      <c r="AI57" s="5">
        <f>AH57/AH59</f>
        <v>0.56000000000000005</v>
      </c>
      <c r="AJ57" s="10">
        <f>280/$AJ$3</f>
        <v>0.56000000000000005</v>
      </c>
      <c r="AL57">
        <v>65</v>
      </c>
      <c r="AM57" s="5">
        <f>AL57/AL59</f>
        <v>0.38461538461538464</v>
      </c>
      <c r="AN57" s="11">
        <f>65/$AN$3</f>
        <v>0.38461538461538464</v>
      </c>
      <c r="AP57">
        <v>136</v>
      </c>
      <c r="AQ57" s="5">
        <f>AP57/AP59</f>
        <v>0.43729903536977494</v>
      </c>
      <c r="AR57" s="5">
        <f>136/$AR$3</f>
        <v>0.43729903536977494</v>
      </c>
      <c r="AT57">
        <v>197</v>
      </c>
      <c r="AU57" s="5">
        <f>AT57/AT59</f>
        <v>0.50512820512820511</v>
      </c>
      <c r="AV57" s="5">
        <f>197/$AV$3</f>
        <v>0.50512820512820511</v>
      </c>
      <c r="AX57">
        <v>69</v>
      </c>
      <c r="AY57" s="5">
        <f>AX57/AX59</f>
        <v>0.53076923076923077</v>
      </c>
      <c r="AZ57" s="5">
        <f>69/$AZ$3</f>
        <v>0.53076923076923077</v>
      </c>
      <c r="BB57">
        <v>206</v>
      </c>
      <c r="BC57" s="5">
        <f>BB57/BB59</f>
        <v>0.5073891625615764</v>
      </c>
      <c r="BD57" s="5">
        <f>206/$BD$3</f>
        <v>0.5073891625615764</v>
      </c>
      <c r="BF57">
        <v>169</v>
      </c>
      <c r="BG57" s="5">
        <f>BF57/BF59</f>
        <v>0.45430107526881719</v>
      </c>
      <c r="BH57" s="5">
        <f>169/$BH$3</f>
        <v>0.45430107526881719</v>
      </c>
      <c r="BJ57">
        <v>92</v>
      </c>
      <c r="BK57" s="5">
        <f>BJ57/BJ59</f>
        <v>0.4144144144144144</v>
      </c>
      <c r="BL57" s="5">
        <f>92/$BL$3</f>
        <v>0.4144144144144144</v>
      </c>
      <c r="BN57">
        <v>193</v>
      </c>
      <c r="BO57" s="5">
        <f>BN57/BN59</f>
        <v>0.50789473684210529</v>
      </c>
      <c r="BP57" s="5">
        <f>193/$BP$3</f>
        <v>0.50789473684210529</v>
      </c>
      <c r="BR57">
        <v>163</v>
      </c>
      <c r="BS57" s="5">
        <f>BR57/BR59</f>
        <v>0.44054054054054054</v>
      </c>
      <c r="BT57" s="5">
        <f>163/$BT$3</f>
        <v>0.44054054054054054</v>
      </c>
      <c r="BV57">
        <v>111</v>
      </c>
      <c r="BW57" s="5">
        <f>BV57/BV59</f>
        <v>0.44400000000000001</v>
      </c>
      <c r="BX57" s="5">
        <f>111/$BX$3</f>
        <v>0.44400000000000001</v>
      </c>
      <c r="BZ57">
        <v>127</v>
      </c>
      <c r="CA57" s="5">
        <f>BZ57/BZ59</f>
        <v>0.50800000000000001</v>
      </c>
      <c r="CB57" s="5">
        <f>127/$CB$3</f>
        <v>0.50800000000000001</v>
      </c>
      <c r="CD57">
        <v>108</v>
      </c>
      <c r="CE57" s="5">
        <f>CD57/CD59</f>
        <v>0.51428571428571423</v>
      </c>
      <c r="CF57" s="5">
        <f>108/$CF$3</f>
        <v>0.51428571428571423</v>
      </c>
      <c r="CH57">
        <v>95</v>
      </c>
      <c r="CI57" s="5">
        <f>CH57/CH59</f>
        <v>0.43181818181818182</v>
      </c>
      <c r="CJ57" s="5">
        <f>95/$CJ$3</f>
        <v>0.43181818181818182</v>
      </c>
      <c r="CL57">
        <v>137</v>
      </c>
      <c r="CM57" s="5">
        <f>CL57/CL59</f>
        <v>0.42812499999999998</v>
      </c>
      <c r="CN57" s="5">
        <f>137/$CN$3</f>
        <v>0.42812499999999998</v>
      </c>
    </row>
    <row r="58" spans="1:92" x14ac:dyDescent="0.25">
      <c r="A58" s="1" t="s">
        <v>12</v>
      </c>
      <c r="B58">
        <v>0</v>
      </c>
      <c r="C58" s="5">
        <f>B58/B59</f>
        <v>0</v>
      </c>
      <c r="D58" s="5">
        <f>0/$D$3</f>
        <v>0</v>
      </c>
      <c r="F58">
        <v>0</v>
      </c>
      <c r="G58" s="5">
        <f>F58/F59</f>
        <v>0</v>
      </c>
      <c r="H58" s="5">
        <f>0/$H$3</f>
        <v>0</v>
      </c>
      <c r="J58">
        <v>0</v>
      </c>
      <c r="K58" s="5">
        <f>J58/J59</f>
        <v>0</v>
      </c>
      <c r="L58" s="5">
        <f>0/$L$3</f>
        <v>0</v>
      </c>
      <c r="N58">
        <v>0</v>
      </c>
      <c r="O58" s="5">
        <f>N58/N59</f>
        <v>0</v>
      </c>
      <c r="P58" s="5">
        <f>0/$P$3</f>
        <v>0</v>
      </c>
      <c r="R58">
        <v>0</v>
      </c>
      <c r="S58" s="5">
        <f>R58/R59</f>
        <v>0</v>
      </c>
      <c r="T58" s="5">
        <f>0/$T$3</f>
        <v>0</v>
      </c>
      <c r="V58">
        <v>0</v>
      </c>
      <c r="W58" s="5">
        <f>V58/V59</f>
        <v>0</v>
      </c>
      <c r="X58" s="5">
        <f>0/$X$3</f>
        <v>0</v>
      </c>
      <c r="Z58">
        <v>0</v>
      </c>
      <c r="AA58" s="5">
        <f>Z58/Z59</f>
        <v>0</v>
      </c>
      <c r="AB58" s="5">
        <f>0/$AB$3</f>
        <v>0</v>
      </c>
      <c r="AD58">
        <v>0</v>
      </c>
      <c r="AE58" s="5">
        <f>AD58/AD59</f>
        <v>0</v>
      </c>
      <c r="AF58" s="5">
        <f>0/$AF$3</f>
        <v>0</v>
      </c>
      <c r="AH58">
        <v>0</v>
      </c>
      <c r="AI58" s="5">
        <f>AH58/AH59</f>
        <v>0</v>
      </c>
      <c r="AJ58" s="5">
        <f>0/$AJ$3</f>
        <v>0</v>
      </c>
      <c r="AL58">
        <v>0</v>
      </c>
      <c r="AM58" s="5">
        <f>AL58/AL59</f>
        <v>0</v>
      </c>
      <c r="AN58" s="5">
        <f>0/$AN$3</f>
        <v>0</v>
      </c>
      <c r="AP58">
        <v>0</v>
      </c>
      <c r="AQ58" s="5">
        <f>AP58/AP59</f>
        <v>0</v>
      </c>
      <c r="AR58" s="5">
        <f>0/$AR$3</f>
        <v>0</v>
      </c>
      <c r="AT58">
        <v>0</v>
      </c>
      <c r="AU58" s="5">
        <f>AT58/AT59</f>
        <v>0</v>
      </c>
      <c r="AV58" s="5">
        <f>0/$AV$3</f>
        <v>0</v>
      </c>
      <c r="AX58">
        <v>0</v>
      </c>
      <c r="AY58" s="5">
        <f>AX58/AX59</f>
        <v>0</v>
      </c>
      <c r="AZ58" s="5">
        <f>0/$AZ$3</f>
        <v>0</v>
      </c>
      <c r="BB58">
        <v>0</v>
      </c>
      <c r="BC58" s="5">
        <f>BB58/BB59</f>
        <v>0</v>
      </c>
      <c r="BD58" s="5">
        <f>0/$BD$3</f>
        <v>0</v>
      </c>
      <c r="BF58">
        <v>0</v>
      </c>
      <c r="BG58" s="5">
        <f>BF58/BF59</f>
        <v>0</v>
      </c>
      <c r="BH58" s="5">
        <f>0/$BH$3</f>
        <v>0</v>
      </c>
      <c r="BJ58">
        <v>0</v>
      </c>
      <c r="BK58" s="5">
        <f>BJ58/BJ59</f>
        <v>0</v>
      </c>
      <c r="BL58" s="5">
        <f>0/$BL$3</f>
        <v>0</v>
      </c>
      <c r="BN58">
        <v>0</v>
      </c>
      <c r="BO58" s="5">
        <f>BN58/BN59</f>
        <v>0</v>
      </c>
      <c r="BP58" s="5">
        <f>0/$BP$3</f>
        <v>0</v>
      </c>
      <c r="BR58">
        <v>0</v>
      </c>
      <c r="BS58" s="5">
        <f>BR58/BR59</f>
        <v>0</v>
      </c>
      <c r="BT58" s="5">
        <f>0/$BT$3</f>
        <v>0</v>
      </c>
      <c r="BV58">
        <v>0</v>
      </c>
      <c r="BW58" s="5">
        <f>BV58/BV59</f>
        <v>0</v>
      </c>
      <c r="BX58" s="5">
        <f>0/$BX$3</f>
        <v>0</v>
      </c>
      <c r="BZ58">
        <v>0</v>
      </c>
      <c r="CA58" s="5">
        <f>BZ58/BZ59</f>
        <v>0</v>
      </c>
      <c r="CB58" s="5">
        <f>0/$CB$3</f>
        <v>0</v>
      </c>
      <c r="CD58">
        <v>0</v>
      </c>
      <c r="CE58" s="5">
        <f>CD58/CD59</f>
        <v>0</v>
      </c>
      <c r="CF58" s="5">
        <f>0/$CF$3</f>
        <v>0</v>
      </c>
      <c r="CH58">
        <v>0</v>
      </c>
      <c r="CI58" s="5">
        <f>CH58/CH59</f>
        <v>0</v>
      </c>
      <c r="CJ58" s="5">
        <f>0/$CJ$3</f>
        <v>0</v>
      </c>
      <c r="CL58">
        <v>0</v>
      </c>
      <c r="CM58" s="5">
        <f>CL58/CL59</f>
        <v>0</v>
      </c>
      <c r="CN58" s="5">
        <f>0/$CN$3</f>
        <v>0</v>
      </c>
    </row>
    <row r="59" spans="1:92" s="6" customFormat="1" x14ac:dyDescent="0.25">
      <c r="A59" s="7" t="s">
        <v>13</v>
      </c>
      <c r="B59" s="6">
        <v>1000</v>
      </c>
      <c r="F59" s="6">
        <v>472</v>
      </c>
      <c r="J59" s="6">
        <v>285</v>
      </c>
      <c r="N59" s="6">
        <v>232</v>
      </c>
      <c r="R59" s="6">
        <v>294</v>
      </c>
      <c r="V59" s="6">
        <v>416</v>
      </c>
      <c r="Z59" s="6">
        <v>420</v>
      </c>
      <c r="AD59" s="6">
        <v>500</v>
      </c>
      <c r="AH59" s="6">
        <v>500</v>
      </c>
      <c r="AL59" s="6">
        <v>169</v>
      </c>
      <c r="AP59" s="6">
        <v>311</v>
      </c>
      <c r="AT59" s="6">
        <v>390</v>
      </c>
      <c r="AX59" s="6">
        <v>130</v>
      </c>
      <c r="BB59" s="6">
        <v>406</v>
      </c>
      <c r="BF59" s="6">
        <v>372</v>
      </c>
      <c r="BJ59" s="6">
        <v>222</v>
      </c>
      <c r="BN59" s="6">
        <v>380</v>
      </c>
      <c r="BR59" s="6">
        <v>370</v>
      </c>
      <c r="BV59" s="6">
        <v>250</v>
      </c>
      <c r="BZ59" s="6">
        <v>250</v>
      </c>
      <c r="CD59" s="6">
        <v>210</v>
      </c>
      <c r="CH59" s="6">
        <v>220</v>
      </c>
      <c r="CL59" s="6">
        <v>320</v>
      </c>
    </row>
    <row r="60" spans="1:92" hidden="1" x14ac:dyDescent="0.25">
      <c r="A60" s="8" t="s">
        <v>14</v>
      </c>
      <c r="B60">
        <v>0</v>
      </c>
      <c r="F60">
        <v>0</v>
      </c>
      <c r="J60">
        <v>0</v>
      </c>
      <c r="N60">
        <v>0</v>
      </c>
      <c r="R60">
        <v>0</v>
      </c>
      <c r="V60">
        <v>0</v>
      </c>
      <c r="Z60">
        <v>0</v>
      </c>
      <c r="AD60">
        <v>0</v>
      </c>
      <c r="AH60">
        <v>0</v>
      </c>
      <c r="AL60">
        <v>0</v>
      </c>
      <c r="AP60">
        <v>0</v>
      </c>
      <c r="AT60">
        <v>0</v>
      </c>
      <c r="AX60">
        <v>0</v>
      </c>
      <c r="BB60">
        <v>0</v>
      </c>
      <c r="BF60">
        <v>0</v>
      </c>
      <c r="BJ60">
        <v>0</v>
      </c>
      <c r="BN60">
        <v>0</v>
      </c>
      <c r="BR60">
        <v>0</v>
      </c>
      <c r="BV60">
        <v>0</v>
      </c>
      <c r="BZ60">
        <v>0</v>
      </c>
      <c r="CD60">
        <v>0</v>
      </c>
      <c r="CH60">
        <v>0</v>
      </c>
      <c r="CL60">
        <v>0</v>
      </c>
    </row>
    <row r="61" spans="1:92" hidden="1" x14ac:dyDescent="0.25">
      <c r="A61" s="8" t="s">
        <v>15</v>
      </c>
      <c r="B61">
        <v>0</v>
      </c>
      <c r="F61">
        <v>0</v>
      </c>
      <c r="J61">
        <v>0</v>
      </c>
      <c r="N61">
        <v>0</v>
      </c>
      <c r="R61">
        <v>0</v>
      </c>
      <c r="V61">
        <v>0</v>
      </c>
      <c r="Z61">
        <v>0</v>
      </c>
      <c r="AD61">
        <v>0</v>
      </c>
      <c r="AH61">
        <v>0</v>
      </c>
      <c r="AL61">
        <v>0</v>
      </c>
      <c r="AP61">
        <v>0</v>
      </c>
      <c r="AT61">
        <v>0</v>
      </c>
      <c r="AX61">
        <v>0</v>
      </c>
      <c r="BB61">
        <v>0</v>
      </c>
      <c r="BF61">
        <v>0</v>
      </c>
      <c r="BJ61">
        <v>0</v>
      </c>
      <c r="BN61">
        <v>0</v>
      </c>
      <c r="BR61">
        <v>0</v>
      </c>
      <c r="BV61">
        <v>0</v>
      </c>
      <c r="BZ61">
        <v>0</v>
      </c>
      <c r="CD61">
        <v>0</v>
      </c>
      <c r="CH61">
        <v>0</v>
      </c>
      <c r="CL61">
        <v>0</v>
      </c>
    </row>
    <row r="63" spans="1:92" x14ac:dyDescent="0.25">
      <c r="AN63" s="2" t="s">
        <v>5</v>
      </c>
      <c r="AR63" s="2" t="s">
        <v>6</v>
      </c>
      <c r="AV63" s="2" t="s">
        <v>7</v>
      </c>
      <c r="AZ63" s="2" t="s">
        <v>8</v>
      </c>
      <c r="BD63" s="2" t="s">
        <v>5</v>
      </c>
      <c r="BH63" s="2" t="s">
        <v>6</v>
      </c>
      <c r="BL63" s="2" t="s">
        <v>7</v>
      </c>
      <c r="BP63" s="2" t="s">
        <v>5</v>
      </c>
      <c r="BT63" s="2" t="s">
        <v>6</v>
      </c>
      <c r="BX63" s="2" t="s">
        <v>7</v>
      </c>
      <c r="CB63" s="2" t="s">
        <v>5</v>
      </c>
      <c r="CF63" s="2" t="s">
        <v>6</v>
      </c>
      <c r="CJ63" s="2" t="s">
        <v>7</v>
      </c>
      <c r="CN63" s="2" t="s">
        <v>8</v>
      </c>
    </row>
    <row r="64" spans="1:92" s="3" customFormat="1" x14ac:dyDescent="0.25">
      <c r="A64" s="9" t="str">
        <f>HYPERLINK("#istenik_brand!A1","Kterou **značku** si vybavíte, když vidíte tuto osobnost?")</f>
        <v>Kterou **značku** si vybavíte, když vidíte tuto osobnost?</v>
      </c>
      <c r="D64" s="4" t="s">
        <v>10</v>
      </c>
      <c r="H64" s="4" t="s">
        <v>10</v>
      </c>
      <c r="L64" s="4" t="s">
        <v>10</v>
      </c>
      <c r="P64" s="4" t="s">
        <v>10</v>
      </c>
      <c r="T64" s="4" t="s">
        <v>10</v>
      </c>
      <c r="X64" s="4" t="s">
        <v>10</v>
      </c>
      <c r="AB64" s="4" t="s">
        <v>10</v>
      </c>
      <c r="AF64" s="4" t="s">
        <v>10</v>
      </c>
      <c r="AJ64" s="4" t="s">
        <v>10</v>
      </c>
      <c r="AN64" s="4" t="s">
        <v>10</v>
      </c>
      <c r="AR64" s="4" t="s">
        <v>10</v>
      </c>
      <c r="AV64" s="4" t="s">
        <v>10</v>
      </c>
      <c r="AZ64" s="4" t="s">
        <v>10</v>
      </c>
      <c r="BD64" s="4" t="s">
        <v>10</v>
      </c>
      <c r="BH64" s="4" t="s">
        <v>10</v>
      </c>
      <c r="BL64" s="4" t="s">
        <v>10</v>
      </c>
      <c r="BP64" s="4" t="s">
        <v>10</v>
      </c>
      <c r="BT64" s="4" t="s">
        <v>10</v>
      </c>
      <c r="BX64" s="4" t="s">
        <v>10</v>
      </c>
      <c r="CB64" s="4" t="s">
        <v>10</v>
      </c>
      <c r="CF64" s="4" t="s">
        <v>10</v>
      </c>
      <c r="CJ64" s="4" t="s">
        <v>10</v>
      </c>
      <c r="CN64" s="4" t="s">
        <v>10</v>
      </c>
    </row>
    <row r="65" spans="1:92" x14ac:dyDescent="0.25">
      <c r="A65" s="1" t="s">
        <v>200</v>
      </c>
      <c r="B65">
        <v>337</v>
      </c>
      <c r="C65" s="5">
        <f>B65/B67</f>
        <v>0.33700000000000002</v>
      </c>
      <c r="D65" s="5">
        <f>337/$D$3</f>
        <v>0.33700000000000002</v>
      </c>
      <c r="F65">
        <v>172</v>
      </c>
      <c r="G65" s="5">
        <f>F65/F67</f>
        <v>0.36440677966101692</v>
      </c>
      <c r="H65" s="5">
        <f>172/$H$3</f>
        <v>0.36440677966101692</v>
      </c>
      <c r="J65">
        <v>104</v>
      </c>
      <c r="K65" s="5">
        <f>J65/J67</f>
        <v>0.36491228070175441</v>
      </c>
      <c r="L65" s="5">
        <f>104/$L$3</f>
        <v>0.36491228070175441</v>
      </c>
      <c r="N65">
        <v>113</v>
      </c>
      <c r="O65" s="5">
        <f>N65/N67</f>
        <v>0.48706896551724138</v>
      </c>
      <c r="P65" s="10">
        <f>113/$P$3</f>
        <v>0.48706896551724138</v>
      </c>
      <c r="R65">
        <v>114</v>
      </c>
      <c r="S65" s="5">
        <f>R65/R67</f>
        <v>0.38775510204081631</v>
      </c>
      <c r="T65" s="10">
        <f>114/$T$3</f>
        <v>0.38775510204081631</v>
      </c>
      <c r="V65">
        <v>157</v>
      </c>
      <c r="W65" s="5">
        <f>V65/V67</f>
        <v>0.37740384615384615</v>
      </c>
      <c r="X65" s="5">
        <f>157/$X$3</f>
        <v>0.37740384615384615</v>
      </c>
      <c r="Z65">
        <v>161</v>
      </c>
      <c r="AA65" s="5">
        <f>Z65/Z67</f>
        <v>0.38333333333333336</v>
      </c>
      <c r="AB65" s="5">
        <f>161/$AB$3</f>
        <v>0.38333333333333336</v>
      </c>
      <c r="AD65">
        <v>173</v>
      </c>
      <c r="AE65" s="5">
        <f>AD65/AD67</f>
        <v>0.34599999999999997</v>
      </c>
      <c r="AF65" s="5">
        <f>173/$AF$3</f>
        <v>0.34599999999999997</v>
      </c>
      <c r="AH65">
        <v>164</v>
      </c>
      <c r="AI65" s="5">
        <f>AH65/AH67</f>
        <v>0.32800000000000001</v>
      </c>
      <c r="AJ65" s="5">
        <f>164/$AJ$3</f>
        <v>0.32800000000000001</v>
      </c>
      <c r="AL65">
        <v>41</v>
      </c>
      <c r="AM65" s="5">
        <f>AL65/AL67</f>
        <v>0.24260355029585798</v>
      </c>
      <c r="AN65" s="11">
        <f>41/$AN$3</f>
        <v>0.24260355029585798</v>
      </c>
      <c r="AP65">
        <v>108</v>
      </c>
      <c r="AQ65" s="5">
        <f>AP65/AP67</f>
        <v>0.34726688102893893</v>
      </c>
      <c r="AR65" s="5">
        <f>108/$AR$3</f>
        <v>0.34726688102893893</v>
      </c>
      <c r="AT65">
        <v>140</v>
      </c>
      <c r="AU65" s="5">
        <f>AT65/AT67</f>
        <v>0.35897435897435898</v>
      </c>
      <c r="AV65" s="5">
        <f>140/$AV$3</f>
        <v>0.35897435897435898</v>
      </c>
      <c r="AW65" s="12"/>
      <c r="AX65">
        <v>48</v>
      </c>
      <c r="AY65" s="5">
        <f>AX65/AX67</f>
        <v>0.36923076923076925</v>
      </c>
      <c r="AZ65" s="5">
        <f>48/$AZ$3</f>
        <v>0.36923076923076925</v>
      </c>
      <c r="BB65">
        <v>115</v>
      </c>
      <c r="BC65" s="5">
        <f>BB65/BB67</f>
        <v>0.28325123152709358</v>
      </c>
      <c r="BD65" s="11">
        <f>115/$BD$3</f>
        <v>0.28325123152709358</v>
      </c>
      <c r="BF65">
        <v>139</v>
      </c>
      <c r="BG65" s="5">
        <f>BF65/BF67</f>
        <v>0.37365591397849462</v>
      </c>
      <c r="BH65" s="5">
        <f>139/$BH$3</f>
        <v>0.37365591397849462</v>
      </c>
      <c r="BJ65">
        <v>83</v>
      </c>
      <c r="BK65" s="5">
        <f>BJ65/BJ67</f>
        <v>0.37387387387387389</v>
      </c>
      <c r="BL65" s="5">
        <f>83/$BL$3</f>
        <v>0.37387387387387389</v>
      </c>
      <c r="BN65">
        <v>126</v>
      </c>
      <c r="BO65" s="5">
        <f>BN65/BN67</f>
        <v>0.33157894736842103</v>
      </c>
      <c r="BP65" s="5">
        <f>126/$BP$3</f>
        <v>0.33157894736842103</v>
      </c>
      <c r="BR65">
        <v>131</v>
      </c>
      <c r="BS65" s="5">
        <f>BR65/BR67</f>
        <v>0.35405405405405405</v>
      </c>
      <c r="BT65" s="5">
        <f>131/$BT$3</f>
        <v>0.35405405405405405</v>
      </c>
      <c r="BV65">
        <v>80</v>
      </c>
      <c r="BW65" s="5">
        <f>BV65/BV67</f>
        <v>0.32</v>
      </c>
      <c r="BX65" s="5">
        <f>80/$BX$3</f>
        <v>0.32</v>
      </c>
      <c r="BZ65">
        <v>77</v>
      </c>
      <c r="CA65" s="5">
        <f>BZ65/BZ67</f>
        <v>0.308</v>
      </c>
      <c r="CB65" s="5">
        <f>77/$CB$3</f>
        <v>0.308</v>
      </c>
      <c r="CD65">
        <v>70</v>
      </c>
      <c r="CE65" s="5">
        <f>CD65/CD67</f>
        <v>0.33333333333333331</v>
      </c>
      <c r="CF65" s="5">
        <f>70/$CF$3</f>
        <v>0.33333333333333331</v>
      </c>
      <c r="CH65">
        <v>87</v>
      </c>
      <c r="CI65" s="5">
        <f>CH65/CH67</f>
        <v>0.39545454545454545</v>
      </c>
      <c r="CJ65" s="10">
        <f>87/$CJ$3</f>
        <v>0.39545454545454545</v>
      </c>
      <c r="CL65">
        <v>103</v>
      </c>
      <c r="CM65" s="5">
        <f>CL65/CL67</f>
        <v>0.32187500000000002</v>
      </c>
      <c r="CN65" s="5">
        <f>103/$CN$3</f>
        <v>0.32187500000000002</v>
      </c>
    </row>
    <row r="66" spans="1:92" x14ac:dyDescent="0.25">
      <c r="A66" s="1" t="s">
        <v>12</v>
      </c>
      <c r="B66">
        <v>668</v>
      </c>
      <c r="C66" s="5">
        <f>B66/B67</f>
        <v>0.66800000000000004</v>
      </c>
      <c r="D66" s="5">
        <f>668/$D$3</f>
        <v>0.66800000000000004</v>
      </c>
      <c r="F66">
        <v>304</v>
      </c>
      <c r="G66" s="5">
        <f>F66/F67</f>
        <v>0.64406779661016944</v>
      </c>
      <c r="H66" s="5">
        <f>304/$H$3</f>
        <v>0.64406779661016944</v>
      </c>
      <c r="J66">
        <v>183</v>
      </c>
      <c r="K66" s="5">
        <f>J66/J67</f>
        <v>0.64210526315789473</v>
      </c>
      <c r="L66" s="5">
        <f>183/$L$3</f>
        <v>0.64210526315789473</v>
      </c>
      <c r="N66">
        <v>121</v>
      </c>
      <c r="O66" s="5">
        <f>N66/N67</f>
        <v>0.52155172413793105</v>
      </c>
      <c r="P66" s="11">
        <f>121/$P$3</f>
        <v>0.52155172413793105</v>
      </c>
      <c r="R66">
        <v>182</v>
      </c>
      <c r="S66" s="5">
        <f>R66/R67</f>
        <v>0.61904761904761907</v>
      </c>
      <c r="T66" s="5">
        <f>182/$T$3</f>
        <v>0.61904761904761907</v>
      </c>
      <c r="V66">
        <v>263</v>
      </c>
      <c r="W66" s="5">
        <f>V66/V67</f>
        <v>0.63221153846153844</v>
      </c>
      <c r="X66" s="5">
        <f>263/$X$3</f>
        <v>0.63221153846153844</v>
      </c>
      <c r="Z66">
        <v>263</v>
      </c>
      <c r="AA66" s="5">
        <f>Z66/Z67</f>
        <v>0.62619047619047619</v>
      </c>
      <c r="AB66" s="5">
        <f>263/$AB$3</f>
        <v>0.62619047619047619</v>
      </c>
      <c r="AD66">
        <v>329</v>
      </c>
      <c r="AE66" s="5">
        <f>AD66/AD67</f>
        <v>0.65800000000000003</v>
      </c>
      <c r="AF66" s="5">
        <f>329/$AF$3</f>
        <v>0.65800000000000003</v>
      </c>
      <c r="AH66">
        <v>339</v>
      </c>
      <c r="AI66" s="5">
        <f>AH66/AH67</f>
        <v>0.67800000000000005</v>
      </c>
      <c r="AJ66" s="5">
        <f>339/$AJ$3</f>
        <v>0.67800000000000005</v>
      </c>
      <c r="AL66">
        <v>128</v>
      </c>
      <c r="AM66" s="5">
        <f>AL66/AL67</f>
        <v>0.75739644970414199</v>
      </c>
      <c r="AN66" s="10">
        <f>128/$AN$3</f>
        <v>0.75739644970414199</v>
      </c>
      <c r="AO66" s="12"/>
      <c r="AP66">
        <v>207</v>
      </c>
      <c r="AQ66" s="5">
        <f>AP66/AP67</f>
        <v>0.66559485530546625</v>
      </c>
      <c r="AR66" s="5">
        <f>207/$AR$3</f>
        <v>0.66559485530546625</v>
      </c>
      <c r="AT66">
        <v>251</v>
      </c>
      <c r="AU66" s="5">
        <f>AT66/AT67</f>
        <v>0.64358974358974363</v>
      </c>
      <c r="AV66" s="5">
        <f>251/$AV$3</f>
        <v>0.64358974358974363</v>
      </c>
      <c r="AX66">
        <v>82</v>
      </c>
      <c r="AY66" s="5">
        <f>AX66/AX67</f>
        <v>0.63076923076923075</v>
      </c>
      <c r="AZ66" s="5">
        <f>82/$AZ$3</f>
        <v>0.63076923076923075</v>
      </c>
      <c r="BB66">
        <v>292</v>
      </c>
      <c r="BC66" s="5">
        <f>BB66/BB67</f>
        <v>0.71921182266009853</v>
      </c>
      <c r="BD66" s="10">
        <f>292/$BD$3</f>
        <v>0.71921182266009853</v>
      </c>
      <c r="BF66">
        <v>237</v>
      </c>
      <c r="BG66" s="5">
        <f>BF66/BF67</f>
        <v>0.63709677419354838</v>
      </c>
      <c r="BH66" s="5">
        <f>237/$BH$3</f>
        <v>0.63709677419354838</v>
      </c>
      <c r="BJ66">
        <v>139</v>
      </c>
      <c r="BK66" s="5">
        <f>BJ66/BJ67</f>
        <v>0.62612612612612617</v>
      </c>
      <c r="BL66" s="5">
        <f>139/$BL$3</f>
        <v>0.62612612612612617</v>
      </c>
      <c r="BN66">
        <v>257</v>
      </c>
      <c r="BO66" s="5">
        <f>BN66/BN67</f>
        <v>0.6763157894736842</v>
      </c>
      <c r="BP66" s="5">
        <f>257/$BP$3</f>
        <v>0.6763157894736842</v>
      </c>
      <c r="BR66">
        <v>240</v>
      </c>
      <c r="BS66" s="5">
        <f>BR66/BR67</f>
        <v>0.64864864864864868</v>
      </c>
      <c r="BT66" s="5">
        <f>240/$BT$3</f>
        <v>0.64864864864864868</v>
      </c>
      <c r="BV66">
        <v>171</v>
      </c>
      <c r="BW66" s="5">
        <f>BV66/BV67</f>
        <v>0.68400000000000005</v>
      </c>
      <c r="BX66" s="5">
        <f>171/$BX$3</f>
        <v>0.68400000000000005</v>
      </c>
      <c r="BZ66">
        <v>175</v>
      </c>
      <c r="CA66" s="5">
        <f>BZ66/BZ67</f>
        <v>0.7</v>
      </c>
      <c r="CB66" s="5">
        <f>175/$CB$3</f>
        <v>0.7</v>
      </c>
      <c r="CD66">
        <v>142</v>
      </c>
      <c r="CE66" s="5">
        <f>CD66/CD67</f>
        <v>0.67619047619047623</v>
      </c>
      <c r="CF66" s="5">
        <f>142/$CF$3</f>
        <v>0.67619047619047623</v>
      </c>
      <c r="CH66">
        <v>133</v>
      </c>
      <c r="CI66" s="5">
        <f>CH66/CH67</f>
        <v>0.6045454545454545</v>
      </c>
      <c r="CJ66" s="11">
        <f>133/$CJ$3</f>
        <v>0.6045454545454545</v>
      </c>
      <c r="CL66">
        <v>218</v>
      </c>
      <c r="CM66" s="5">
        <f>CL66/CL67</f>
        <v>0.68125000000000002</v>
      </c>
      <c r="CN66" s="5">
        <f>218/$CN$3</f>
        <v>0.68125000000000002</v>
      </c>
    </row>
    <row r="67" spans="1:92" s="6" customFormat="1" x14ac:dyDescent="0.25">
      <c r="A67" s="7" t="s">
        <v>13</v>
      </c>
      <c r="B67" s="6">
        <v>1000</v>
      </c>
      <c r="F67" s="6">
        <v>472</v>
      </c>
      <c r="J67" s="6">
        <v>285</v>
      </c>
      <c r="N67" s="6">
        <v>232</v>
      </c>
      <c r="R67" s="6">
        <v>294</v>
      </c>
      <c r="V67" s="6">
        <v>416</v>
      </c>
      <c r="Z67" s="6">
        <v>420</v>
      </c>
      <c r="AD67" s="6">
        <v>500</v>
      </c>
      <c r="AH67" s="6">
        <v>500</v>
      </c>
      <c r="AL67" s="6">
        <v>169</v>
      </c>
      <c r="AP67" s="6">
        <v>311</v>
      </c>
      <c r="AT67" s="6">
        <v>390</v>
      </c>
      <c r="AX67" s="6">
        <v>130</v>
      </c>
      <c r="BB67" s="6">
        <v>406</v>
      </c>
      <c r="BF67" s="6">
        <v>372</v>
      </c>
      <c r="BJ67" s="6">
        <v>222</v>
      </c>
      <c r="BN67" s="6">
        <v>380</v>
      </c>
      <c r="BR67" s="6">
        <v>370</v>
      </c>
      <c r="BV67" s="6">
        <v>250</v>
      </c>
      <c r="BZ67" s="6">
        <v>250</v>
      </c>
      <c r="CD67" s="6">
        <v>210</v>
      </c>
      <c r="CH67" s="6">
        <v>220</v>
      </c>
      <c r="CL67" s="6">
        <v>320</v>
      </c>
    </row>
    <row r="68" spans="1:92" hidden="1" x14ac:dyDescent="0.25">
      <c r="A68" s="8" t="s">
        <v>14</v>
      </c>
      <c r="B68">
        <v>0</v>
      </c>
      <c r="F68">
        <v>0</v>
      </c>
      <c r="J68">
        <v>0</v>
      </c>
      <c r="N68">
        <v>0</v>
      </c>
      <c r="R68">
        <v>0</v>
      </c>
      <c r="V68">
        <v>0</v>
      </c>
      <c r="Z68">
        <v>0</v>
      </c>
      <c r="AD68">
        <v>0</v>
      </c>
      <c r="AH68">
        <v>0</v>
      </c>
      <c r="AL68">
        <v>0</v>
      </c>
      <c r="AP68">
        <v>0</v>
      </c>
      <c r="AT68">
        <v>0</v>
      </c>
      <c r="AX68">
        <v>0</v>
      </c>
      <c r="BB68">
        <v>0</v>
      </c>
      <c r="BF68">
        <v>0</v>
      </c>
      <c r="BJ68">
        <v>0</v>
      </c>
      <c r="BN68">
        <v>0</v>
      </c>
      <c r="BR68">
        <v>0</v>
      </c>
      <c r="BV68">
        <v>0</v>
      </c>
      <c r="BZ68">
        <v>0</v>
      </c>
      <c r="CD68">
        <v>0</v>
      </c>
      <c r="CH68">
        <v>0</v>
      </c>
      <c r="CL68">
        <v>0</v>
      </c>
    </row>
    <row r="69" spans="1:92" hidden="1" x14ac:dyDescent="0.25">
      <c r="A69" s="8" t="s">
        <v>15</v>
      </c>
      <c r="B69">
        <v>0</v>
      </c>
      <c r="F69">
        <v>0</v>
      </c>
      <c r="J69">
        <v>0</v>
      </c>
      <c r="N69">
        <v>0</v>
      </c>
      <c r="R69">
        <v>0</v>
      </c>
      <c r="V69">
        <v>0</v>
      </c>
      <c r="Z69">
        <v>0</v>
      </c>
      <c r="AD69">
        <v>0</v>
      </c>
      <c r="AH69">
        <v>0</v>
      </c>
      <c r="AL69">
        <v>0</v>
      </c>
      <c r="AP69">
        <v>0</v>
      </c>
      <c r="AT69">
        <v>0</v>
      </c>
      <c r="AX69">
        <v>0</v>
      </c>
      <c r="BB69">
        <v>0</v>
      </c>
      <c r="BF69">
        <v>0</v>
      </c>
      <c r="BJ69">
        <v>0</v>
      </c>
      <c r="BN69">
        <v>0</v>
      </c>
      <c r="BR69">
        <v>0</v>
      </c>
      <c r="BV69">
        <v>0</v>
      </c>
      <c r="BZ69">
        <v>0</v>
      </c>
      <c r="CD69">
        <v>0</v>
      </c>
      <c r="CH69">
        <v>0</v>
      </c>
      <c r="CL69">
        <v>0</v>
      </c>
    </row>
    <row r="71" spans="1:92" x14ac:dyDescent="0.25">
      <c r="AN71" s="2" t="s">
        <v>5</v>
      </c>
      <c r="AR71" s="2" t="s">
        <v>6</v>
      </c>
      <c r="AV71" s="2" t="s">
        <v>7</v>
      </c>
      <c r="AZ71" s="2" t="s">
        <v>8</v>
      </c>
      <c r="BD71" s="2" t="s">
        <v>5</v>
      </c>
      <c r="BH71" s="2" t="s">
        <v>6</v>
      </c>
      <c r="BL71" s="2" t="s">
        <v>7</v>
      </c>
      <c r="BP71" s="2" t="s">
        <v>5</v>
      </c>
      <c r="BT71" s="2" t="s">
        <v>6</v>
      </c>
      <c r="BX71" s="2" t="s">
        <v>7</v>
      </c>
      <c r="CB71" s="2" t="s">
        <v>5</v>
      </c>
      <c r="CF71" s="2" t="s">
        <v>6</v>
      </c>
      <c r="CJ71" s="2" t="s">
        <v>7</v>
      </c>
      <c r="CN71" s="2" t="s">
        <v>8</v>
      </c>
    </row>
    <row r="72" spans="1:92" s="3" customFormat="1" x14ac:dyDescent="0.25">
      <c r="A72" s="9" t="str">
        <f>HYPERLINK("#istenik_emo!A1","Jaký máte pocit z této osobnosti?")</f>
        <v>Jaký máte pocit z této osobnosti?</v>
      </c>
      <c r="D72" s="4" t="s">
        <v>10</v>
      </c>
      <c r="H72" s="4" t="s">
        <v>10</v>
      </c>
      <c r="L72" s="4" t="s">
        <v>10</v>
      </c>
      <c r="P72" s="4" t="s">
        <v>10</v>
      </c>
      <c r="T72" s="4" t="s">
        <v>10</v>
      </c>
      <c r="X72" s="4" t="s">
        <v>10</v>
      </c>
      <c r="AB72" s="4" t="s">
        <v>10</v>
      </c>
      <c r="AF72" s="4" t="s">
        <v>10</v>
      </c>
      <c r="AJ72" s="4" t="s">
        <v>10</v>
      </c>
      <c r="AN72" s="4" t="s">
        <v>10</v>
      </c>
      <c r="AR72" s="4" t="s">
        <v>10</v>
      </c>
      <c r="AV72" s="4" t="s">
        <v>10</v>
      </c>
      <c r="AZ72" s="4" t="s">
        <v>10</v>
      </c>
      <c r="BD72" s="4" t="s">
        <v>10</v>
      </c>
      <c r="BH72" s="4" t="s">
        <v>10</v>
      </c>
      <c r="BL72" s="4" t="s">
        <v>10</v>
      </c>
      <c r="BP72" s="4" t="s">
        <v>10</v>
      </c>
      <c r="BT72" s="4" t="s">
        <v>10</v>
      </c>
      <c r="BX72" s="4" t="s">
        <v>10</v>
      </c>
      <c r="CB72" s="4" t="s">
        <v>10</v>
      </c>
      <c r="CF72" s="4" t="s">
        <v>10</v>
      </c>
      <c r="CJ72" s="4" t="s">
        <v>10</v>
      </c>
      <c r="CN72" s="4" t="s">
        <v>10</v>
      </c>
    </row>
    <row r="73" spans="1:92" x14ac:dyDescent="0.25">
      <c r="A73" s="1" t="s">
        <v>221</v>
      </c>
      <c r="B73">
        <v>49</v>
      </c>
      <c r="C73" s="5">
        <f>B73/B79</f>
        <v>4.9000000000000002E-2</v>
      </c>
      <c r="D73" s="5">
        <f>49/$D$3</f>
        <v>4.9000000000000002E-2</v>
      </c>
      <c r="F73">
        <v>28</v>
      </c>
      <c r="G73" s="5">
        <f>F73/F79</f>
        <v>5.9322033898305086E-2</v>
      </c>
      <c r="H73" s="5">
        <f>28/$H$3</f>
        <v>5.9322033898305086E-2</v>
      </c>
      <c r="J73">
        <v>19</v>
      </c>
      <c r="K73" s="5">
        <f>J73/J79</f>
        <v>6.6666666666666666E-2</v>
      </c>
      <c r="L73" s="5">
        <f>19/$L$3</f>
        <v>6.6666666666666666E-2</v>
      </c>
      <c r="N73">
        <v>25</v>
      </c>
      <c r="O73" s="5">
        <f>N73/N79</f>
        <v>0.10775862068965517</v>
      </c>
      <c r="P73" s="5">
        <f>25/$P$3</f>
        <v>0.10775862068965517</v>
      </c>
      <c r="R73">
        <v>19</v>
      </c>
      <c r="S73" s="5">
        <f>R73/R79</f>
        <v>6.4625850340136057E-2</v>
      </c>
      <c r="T73" s="5">
        <f>19/$T$3</f>
        <v>6.4625850340136057E-2</v>
      </c>
      <c r="V73">
        <v>26</v>
      </c>
      <c r="W73" s="5">
        <f>V73/V79</f>
        <v>6.25E-2</v>
      </c>
      <c r="X73" s="5">
        <f>26/$X$3</f>
        <v>6.25E-2</v>
      </c>
      <c r="Z73">
        <v>25</v>
      </c>
      <c r="AA73" s="5">
        <f>Z73/Z79</f>
        <v>5.9523809523809521E-2</v>
      </c>
      <c r="AB73" s="5">
        <f>25/$AB$3</f>
        <v>5.9523809523809521E-2</v>
      </c>
      <c r="AD73">
        <v>29</v>
      </c>
      <c r="AE73" s="5">
        <f>AD73/AD79</f>
        <v>5.8000000000000003E-2</v>
      </c>
      <c r="AF73" s="5">
        <f>29/$AF$3</f>
        <v>5.8000000000000003E-2</v>
      </c>
      <c r="AH73">
        <v>20</v>
      </c>
      <c r="AI73" s="5">
        <f>AH73/AH79</f>
        <v>0.04</v>
      </c>
      <c r="AJ73" s="5">
        <f>20/$AJ$3</f>
        <v>0.04</v>
      </c>
      <c r="AL73">
        <v>7</v>
      </c>
      <c r="AM73" s="5">
        <f>AL73/AL79</f>
        <v>4.142011834319527E-2</v>
      </c>
      <c r="AN73" s="5">
        <f>7/$AN$3</f>
        <v>4.142011834319527E-2</v>
      </c>
      <c r="AP73">
        <v>20</v>
      </c>
      <c r="AQ73" s="5">
        <f>AP73/AP79</f>
        <v>6.4308681672025719E-2</v>
      </c>
      <c r="AR73" s="5">
        <f>20/$AR$3</f>
        <v>6.4308681672025719E-2</v>
      </c>
      <c r="AT73">
        <v>18</v>
      </c>
      <c r="AU73" s="5">
        <f>AT73/AT79</f>
        <v>4.6153846153846156E-2</v>
      </c>
      <c r="AV73" s="5">
        <f>18/$AV$3</f>
        <v>4.6153846153846156E-2</v>
      </c>
      <c r="AX73">
        <v>4</v>
      </c>
      <c r="AY73" s="5">
        <f>AX73/AX79</f>
        <v>3.0769230769230771E-2</v>
      </c>
      <c r="AZ73" s="5">
        <f>4/$AZ$3</f>
        <v>3.0769230769230771E-2</v>
      </c>
      <c r="BB73">
        <v>21</v>
      </c>
      <c r="BC73" s="5">
        <f>BB73/BB79</f>
        <v>5.1724137931034482E-2</v>
      </c>
      <c r="BD73" s="5">
        <f>21/$BD$3</f>
        <v>5.1724137931034482E-2</v>
      </c>
      <c r="BF73">
        <v>21</v>
      </c>
      <c r="BG73" s="5">
        <f>BF73/BF79</f>
        <v>5.6451612903225805E-2</v>
      </c>
      <c r="BH73" s="5">
        <f>21/$BH$3</f>
        <v>5.6451612903225805E-2</v>
      </c>
      <c r="BJ73">
        <v>7</v>
      </c>
      <c r="BK73" s="5">
        <f>BJ73/BJ79</f>
        <v>3.1531531531531529E-2</v>
      </c>
      <c r="BL73" s="5">
        <f>7/$BL$3</f>
        <v>3.1531531531531529E-2</v>
      </c>
      <c r="BN73">
        <v>21</v>
      </c>
      <c r="BO73" s="5">
        <f>BN73/BN79</f>
        <v>5.526315789473684E-2</v>
      </c>
      <c r="BP73" s="5">
        <f>21/$BP$3</f>
        <v>5.526315789473684E-2</v>
      </c>
      <c r="BR73">
        <v>20</v>
      </c>
      <c r="BS73" s="5">
        <f>BR73/BR79</f>
        <v>5.4054054054054057E-2</v>
      </c>
      <c r="BT73" s="5">
        <f>20/$BT$3</f>
        <v>5.4054054054054057E-2</v>
      </c>
      <c r="BV73">
        <v>8</v>
      </c>
      <c r="BW73" s="5">
        <f>BV73/BV79</f>
        <v>3.2000000000000001E-2</v>
      </c>
      <c r="BX73" s="5">
        <f>8/$BX$3</f>
        <v>3.2000000000000001E-2</v>
      </c>
      <c r="BZ73">
        <v>15</v>
      </c>
      <c r="CA73" s="5">
        <f>BZ73/BZ79</f>
        <v>0.06</v>
      </c>
      <c r="CB73" s="5">
        <f>15/$CB$3</f>
        <v>0.06</v>
      </c>
      <c r="CD73">
        <v>13</v>
      </c>
      <c r="CE73" s="5">
        <f>CD73/CD79</f>
        <v>6.1904761904761907E-2</v>
      </c>
      <c r="CF73" s="5">
        <f>13/$CF$3</f>
        <v>6.1904761904761907E-2</v>
      </c>
      <c r="CH73">
        <v>6</v>
      </c>
      <c r="CI73" s="5">
        <f>CH73/CH79</f>
        <v>2.7272727272727271E-2</v>
      </c>
      <c r="CJ73" s="5">
        <f>6/$CJ$3</f>
        <v>2.7272727272727271E-2</v>
      </c>
      <c r="CL73">
        <v>15</v>
      </c>
      <c r="CM73" s="5">
        <f>CL73/CL79</f>
        <v>4.6875E-2</v>
      </c>
      <c r="CN73" s="5">
        <f>15/$CN$3</f>
        <v>4.6875E-2</v>
      </c>
    </row>
    <row r="74" spans="1:92" x14ac:dyDescent="0.25">
      <c r="A74" s="1" t="s">
        <v>201</v>
      </c>
      <c r="B74">
        <v>340</v>
      </c>
      <c r="C74" s="5">
        <f>B74/B79</f>
        <v>0.34</v>
      </c>
      <c r="D74" s="5">
        <f>340/$D$3</f>
        <v>0.34</v>
      </c>
      <c r="F74">
        <v>171</v>
      </c>
      <c r="G74" s="5">
        <f>F74/F79</f>
        <v>0.36228813559322032</v>
      </c>
      <c r="H74" s="5">
        <f>171/$H$3</f>
        <v>0.36228813559322032</v>
      </c>
      <c r="J74">
        <v>112</v>
      </c>
      <c r="K74" s="5">
        <f>J74/J79</f>
        <v>0.39298245614035088</v>
      </c>
      <c r="L74" s="10">
        <f>112/$L$3</f>
        <v>0.39298245614035088</v>
      </c>
      <c r="N74">
        <v>139</v>
      </c>
      <c r="O74" s="5">
        <f>N74/N79</f>
        <v>0.59913793103448276</v>
      </c>
      <c r="P74" s="10">
        <f>139/$P$3</f>
        <v>0.59913793103448276</v>
      </c>
      <c r="R74">
        <v>124</v>
      </c>
      <c r="S74" s="5">
        <f>R74/R79</f>
        <v>0.42176870748299322</v>
      </c>
      <c r="T74" s="10">
        <f>124/$T$3</f>
        <v>0.42176870748299322</v>
      </c>
      <c r="V74">
        <v>162</v>
      </c>
      <c r="W74" s="5">
        <f>V74/V79</f>
        <v>0.38942307692307693</v>
      </c>
      <c r="X74" s="5">
        <f>162/$X$3</f>
        <v>0.38942307692307693</v>
      </c>
      <c r="Z74">
        <v>166</v>
      </c>
      <c r="AA74" s="5">
        <f>Z74/Z79</f>
        <v>0.39523809523809522</v>
      </c>
      <c r="AB74" s="10">
        <f>166/$AB$3</f>
        <v>0.39523809523809522</v>
      </c>
      <c r="AD74">
        <v>164</v>
      </c>
      <c r="AE74" s="5">
        <f>AD74/AD79</f>
        <v>0.32800000000000001</v>
      </c>
      <c r="AF74" s="5">
        <f>164/$AF$3</f>
        <v>0.32800000000000001</v>
      </c>
      <c r="AH74">
        <v>176</v>
      </c>
      <c r="AI74" s="5">
        <f>AH74/AH79</f>
        <v>0.35199999999999998</v>
      </c>
      <c r="AJ74" s="5">
        <f>176/$AJ$3</f>
        <v>0.35199999999999998</v>
      </c>
      <c r="AL74">
        <v>34</v>
      </c>
      <c r="AM74" s="5">
        <f>AL74/AL79</f>
        <v>0.20118343195266272</v>
      </c>
      <c r="AN74" s="11">
        <f>34/$AN$3</f>
        <v>0.20118343195266272</v>
      </c>
      <c r="AP74">
        <v>87</v>
      </c>
      <c r="AQ74" s="5">
        <f>AP74/AP79</f>
        <v>0.27974276527331188</v>
      </c>
      <c r="AR74" s="11">
        <f>87/$AR$3</f>
        <v>0.27974276527331188</v>
      </c>
      <c r="AT74">
        <v>165</v>
      </c>
      <c r="AU74" s="5">
        <f>AT74/AT79</f>
        <v>0.42307692307692307</v>
      </c>
      <c r="AV74" s="10">
        <f>165/$AV$3</f>
        <v>0.42307692307692307</v>
      </c>
      <c r="AW74" s="12"/>
      <c r="AX74">
        <v>54</v>
      </c>
      <c r="AY74" s="5">
        <f>AX74/AX79</f>
        <v>0.41538461538461541</v>
      </c>
      <c r="AZ74" s="5">
        <f>54/$AZ$3</f>
        <v>0.41538461538461541</v>
      </c>
      <c r="BA74" s="12"/>
      <c r="BB74">
        <v>135</v>
      </c>
      <c r="BC74" s="5">
        <f>BB74/BB79</f>
        <v>0.33251231527093594</v>
      </c>
      <c r="BD74" s="5">
        <f>135/$BD$3</f>
        <v>0.33251231527093594</v>
      </c>
      <c r="BF74">
        <v>128</v>
      </c>
      <c r="BG74" s="5">
        <f>BF74/BF79</f>
        <v>0.34408602150537637</v>
      </c>
      <c r="BH74" s="5">
        <f>128/$BH$3</f>
        <v>0.34408602150537637</v>
      </c>
      <c r="BJ74">
        <v>77</v>
      </c>
      <c r="BK74" s="5">
        <f>BJ74/BJ79</f>
        <v>0.34684684684684686</v>
      </c>
      <c r="BL74" s="5">
        <f>77/$BL$3</f>
        <v>0.34684684684684686</v>
      </c>
      <c r="BN74">
        <v>130</v>
      </c>
      <c r="BO74" s="5">
        <f>BN74/BN79</f>
        <v>0.34210526315789475</v>
      </c>
      <c r="BP74" s="5">
        <f>130/$BP$3</f>
        <v>0.34210526315789475</v>
      </c>
      <c r="BR74">
        <v>131</v>
      </c>
      <c r="BS74" s="5">
        <f>BR74/BR79</f>
        <v>0.35405405405405405</v>
      </c>
      <c r="BT74" s="5">
        <f>131/$BT$3</f>
        <v>0.35405405405405405</v>
      </c>
      <c r="BV74">
        <v>79</v>
      </c>
      <c r="BW74" s="5">
        <f>BV74/BV79</f>
        <v>0.316</v>
      </c>
      <c r="BX74" s="5">
        <f>79/$BX$3</f>
        <v>0.316</v>
      </c>
      <c r="BZ74">
        <v>97</v>
      </c>
      <c r="CA74" s="5">
        <f>BZ74/BZ79</f>
        <v>0.38800000000000001</v>
      </c>
      <c r="CB74" s="5">
        <f>97/$CB$3</f>
        <v>0.38800000000000001</v>
      </c>
      <c r="CD74">
        <v>69</v>
      </c>
      <c r="CE74" s="5">
        <f>CD74/CD79</f>
        <v>0.32857142857142857</v>
      </c>
      <c r="CF74" s="5">
        <f>69/$CF$3</f>
        <v>0.32857142857142857</v>
      </c>
      <c r="CH74">
        <v>73</v>
      </c>
      <c r="CI74" s="5">
        <f>CH74/CH79</f>
        <v>0.33181818181818185</v>
      </c>
      <c r="CJ74" s="5">
        <f>73/$CJ$3</f>
        <v>0.33181818181818185</v>
      </c>
      <c r="CL74">
        <v>101</v>
      </c>
      <c r="CM74" s="5">
        <f>CL74/CL79</f>
        <v>0.31562499999999999</v>
      </c>
      <c r="CN74" s="5">
        <f>101/$CN$3</f>
        <v>0.31562499999999999</v>
      </c>
    </row>
    <row r="75" spans="1:92" x14ac:dyDescent="0.25">
      <c r="A75" s="1" t="s">
        <v>203</v>
      </c>
      <c r="B75">
        <v>515</v>
      </c>
      <c r="C75" s="5">
        <f>B75/B79</f>
        <v>0.51500000000000001</v>
      </c>
      <c r="D75" s="5">
        <f>515/$D$3</f>
        <v>0.51500000000000001</v>
      </c>
      <c r="F75">
        <v>230</v>
      </c>
      <c r="G75" s="5">
        <f>F75/F79</f>
        <v>0.48728813559322032</v>
      </c>
      <c r="H75" s="5">
        <f>230/$H$3</f>
        <v>0.48728813559322032</v>
      </c>
      <c r="J75">
        <v>122</v>
      </c>
      <c r="K75" s="5">
        <f>J75/J79</f>
        <v>0.42807017543859649</v>
      </c>
      <c r="L75" s="11">
        <f>122/$L$3</f>
        <v>0.42807017543859649</v>
      </c>
      <c r="N75">
        <v>60</v>
      </c>
      <c r="O75" s="5">
        <f>N75/N79</f>
        <v>0.25862068965517243</v>
      </c>
      <c r="P75" s="11">
        <f>60/$P$3</f>
        <v>0.25862068965517243</v>
      </c>
      <c r="R75">
        <v>131</v>
      </c>
      <c r="S75" s="5">
        <f>R75/R79</f>
        <v>0.445578231292517</v>
      </c>
      <c r="T75" s="11">
        <f>131/$T$3</f>
        <v>0.445578231292517</v>
      </c>
      <c r="V75">
        <v>193</v>
      </c>
      <c r="W75" s="5">
        <f>V75/V79</f>
        <v>0.46394230769230771</v>
      </c>
      <c r="X75" s="11">
        <f>193/$X$3</f>
        <v>0.46394230769230771</v>
      </c>
      <c r="Z75">
        <v>195</v>
      </c>
      <c r="AA75" s="5">
        <f>Z75/Z79</f>
        <v>0.4642857142857143</v>
      </c>
      <c r="AB75" s="11">
        <f>195/$AB$3</f>
        <v>0.4642857142857143</v>
      </c>
      <c r="AD75">
        <v>253</v>
      </c>
      <c r="AE75" s="5">
        <f>AD75/AD79</f>
        <v>0.50600000000000001</v>
      </c>
      <c r="AF75" s="5">
        <f>253/$AF$3</f>
        <v>0.50600000000000001</v>
      </c>
      <c r="AH75">
        <v>262</v>
      </c>
      <c r="AI75" s="5">
        <f>AH75/AH79</f>
        <v>0.52400000000000002</v>
      </c>
      <c r="AJ75" s="5">
        <f>262/$AJ$3</f>
        <v>0.52400000000000002</v>
      </c>
      <c r="AL75">
        <v>101</v>
      </c>
      <c r="AM75" s="5">
        <f>AL75/AL79</f>
        <v>0.59763313609467461</v>
      </c>
      <c r="AN75" s="10">
        <f>101/$AN$3</f>
        <v>0.59763313609467461</v>
      </c>
      <c r="AO75" s="12"/>
      <c r="AP75">
        <v>179</v>
      </c>
      <c r="AQ75" s="5">
        <f>AP75/AP79</f>
        <v>0.57556270096463025</v>
      </c>
      <c r="AR75" s="10">
        <f>179/$AR$3</f>
        <v>0.57556270096463025</v>
      </c>
      <c r="AS75" s="12"/>
      <c r="AT75">
        <v>172</v>
      </c>
      <c r="AU75" s="5">
        <f>AT75/AT79</f>
        <v>0.44102564102564101</v>
      </c>
      <c r="AV75" s="11">
        <f>172/$AV$3</f>
        <v>0.44102564102564101</v>
      </c>
      <c r="AX75">
        <v>63</v>
      </c>
      <c r="AY75" s="5">
        <f>AX75/AX79</f>
        <v>0.48461538461538461</v>
      </c>
      <c r="AZ75" s="5">
        <f>63/$AZ$3</f>
        <v>0.48461538461538461</v>
      </c>
      <c r="BB75">
        <v>209</v>
      </c>
      <c r="BC75" s="5">
        <f>BB75/BB79</f>
        <v>0.51477832512315269</v>
      </c>
      <c r="BD75" s="5">
        <f>209/$BD$3</f>
        <v>0.51477832512315269</v>
      </c>
      <c r="BF75">
        <v>192</v>
      </c>
      <c r="BG75" s="5">
        <f>BF75/BF79</f>
        <v>0.5161290322580645</v>
      </c>
      <c r="BH75" s="5">
        <f>192/$BH$3</f>
        <v>0.5161290322580645</v>
      </c>
      <c r="BJ75">
        <v>114</v>
      </c>
      <c r="BK75" s="5">
        <f>BJ75/BJ79</f>
        <v>0.51351351351351349</v>
      </c>
      <c r="BL75" s="5">
        <f>114/$BL$3</f>
        <v>0.51351351351351349</v>
      </c>
      <c r="BN75">
        <v>191</v>
      </c>
      <c r="BO75" s="5">
        <f>BN75/BN79</f>
        <v>0.50263157894736843</v>
      </c>
      <c r="BP75" s="5">
        <f>191/$BP$3</f>
        <v>0.50263157894736843</v>
      </c>
      <c r="BR75">
        <v>189</v>
      </c>
      <c r="BS75" s="5">
        <f>BR75/BR79</f>
        <v>0.51081081081081081</v>
      </c>
      <c r="BT75" s="5">
        <f>189/$BT$3</f>
        <v>0.51081081081081081</v>
      </c>
      <c r="BV75">
        <v>135</v>
      </c>
      <c r="BW75" s="5">
        <f>BV75/BV79</f>
        <v>0.54</v>
      </c>
      <c r="BX75" s="5">
        <f>135/$BX$3</f>
        <v>0.54</v>
      </c>
      <c r="BZ75">
        <v>118</v>
      </c>
      <c r="CA75" s="5">
        <f>BZ75/BZ79</f>
        <v>0.47199999999999998</v>
      </c>
      <c r="CB75" s="5">
        <f>118/$CB$3</f>
        <v>0.47199999999999998</v>
      </c>
      <c r="CD75">
        <v>114</v>
      </c>
      <c r="CE75" s="5">
        <f>CD75/CD79</f>
        <v>0.54285714285714282</v>
      </c>
      <c r="CF75" s="5">
        <f>114/$CF$3</f>
        <v>0.54285714285714282</v>
      </c>
      <c r="CH75">
        <v>119</v>
      </c>
      <c r="CI75" s="5">
        <f>CH75/CH79</f>
        <v>0.54090909090909089</v>
      </c>
      <c r="CJ75" s="5">
        <f>119/$CJ$3</f>
        <v>0.54090909090909089</v>
      </c>
      <c r="CL75">
        <v>164</v>
      </c>
      <c r="CM75" s="5">
        <f>CL75/CL79</f>
        <v>0.51249999999999996</v>
      </c>
      <c r="CN75" s="5">
        <f>164/$CN$3</f>
        <v>0.51249999999999996</v>
      </c>
    </row>
    <row r="76" spans="1:92" x14ac:dyDescent="0.25">
      <c r="A76" s="1" t="s">
        <v>208</v>
      </c>
      <c r="B76">
        <v>75</v>
      </c>
      <c r="C76" s="5">
        <f>B76/B79</f>
        <v>7.4999999999999997E-2</v>
      </c>
      <c r="D76" s="5">
        <f>75/$D$3</f>
        <v>7.4999999999999997E-2</v>
      </c>
      <c r="F76">
        <v>36</v>
      </c>
      <c r="G76" s="5">
        <f>F76/F79</f>
        <v>7.6271186440677971E-2</v>
      </c>
      <c r="H76" s="5">
        <f>36/$H$3</f>
        <v>7.6271186440677971E-2</v>
      </c>
      <c r="J76">
        <v>24</v>
      </c>
      <c r="K76" s="5">
        <f>J76/J79</f>
        <v>8.4210526315789472E-2</v>
      </c>
      <c r="L76" s="5">
        <f>24/$L$3</f>
        <v>8.4210526315789472E-2</v>
      </c>
      <c r="N76">
        <v>7</v>
      </c>
      <c r="O76" s="5">
        <f>N76/N79</f>
        <v>3.017241379310345E-2</v>
      </c>
      <c r="P76" s="5">
        <f>7/$P$3</f>
        <v>3.017241379310345E-2</v>
      </c>
      <c r="R76">
        <v>18</v>
      </c>
      <c r="S76" s="5">
        <f>R76/R79</f>
        <v>6.1224489795918366E-2</v>
      </c>
      <c r="T76" s="5">
        <f>18/$T$3</f>
        <v>6.1224489795918366E-2</v>
      </c>
      <c r="V76">
        <v>32</v>
      </c>
      <c r="W76" s="5">
        <f>V76/V79</f>
        <v>7.6923076923076927E-2</v>
      </c>
      <c r="X76" s="5">
        <f>32/$X$3</f>
        <v>7.6923076923076927E-2</v>
      </c>
      <c r="Z76">
        <v>30</v>
      </c>
      <c r="AA76" s="5">
        <f>Z76/Z79</f>
        <v>7.1428571428571425E-2</v>
      </c>
      <c r="AB76" s="5">
        <f>30/$AB$3</f>
        <v>7.1428571428571425E-2</v>
      </c>
      <c r="AD76">
        <v>41</v>
      </c>
      <c r="AE76" s="5">
        <f>AD76/AD79</f>
        <v>8.2000000000000003E-2</v>
      </c>
      <c r="AF76" s="5">
        <f>41/$AF$3</f>
        <v>8.2000000000000003E-2</v>
      </c>
      <c r="AH76">
        <v>34</v>
      </c>
      <c r="AI76" s="5">
        <f>AH76/AH79</f>
        <v>6.8000000000000005E-2</v>
      </c>
      <c r="AJ76" s="5">
        <f>34/$AJ$3</f>
        <v>6.8000000000000005E-2</v>
      </c>
      <c r="AL76">
        <v>21</v>
      </c>
      <c r="AM76" s="5">
        <f>AL76/AL79</f>
        <v>0.1242603550295858</v>
      </c>
      <c r="AN76" s="5">
        <f>21/$AN$3</f>
        <v>0.1242603550295858</v>
      </c>
      <c r="AP76">
        <v>21</v>
      </c>
      <c r="AQ76" s="5">
        <f>AP76/AP79</f>
        <v>6.7524115755627015E-2</v>
      </c>
      <c r="AR76" s="5">
        <f>21/$AR$3</f>
        <v>6.7524115755627015E-2</v>
      </c>
      <c r="AT76">
        <v>26</v>
      </c>
      <c r="AU76" s="5">
        <f>AT76/AT79</f>
        <v>6.6666666666666666E-2</v>
      </c>
      <c r="AV76" s="5">
        <f>26/$AV$3</f>
        <v>6.6666666666666666E-2</v>
      </c>
      <c r="AX76">
        <v>7</v>
      </c>
      <c r="AY76" s="5">
        <f>AX76/AX79</f>
        <v>5.3846153846153849E-2</v>
      </c>
      <c r="AZ76" s="5">
        <f>7/$AZ$3</f>
        <v>5.3846153846153849E-2</v>
      </c>
      <c r="BB76">
        <v>29</v>
      </c>
      <c r="BC76" s="5">
        <f>BB76/BB79</f>
        <v>7.1428571428571425E-2</v>
      </c>
      <c r="BD76" s="5">
        <f>29/$BD$3</f>
        <v>7.1428571428571425E-2</v>
      </c>
      <c r="BF76">
        <v>27</v>
      </c>
      <c r="BG76" s="5">
        <f>BF76/BF79</f>
        <v>7.2580645161290328E-2</v>
      </c>
      <c r="BH76" s="5">
        <f>27/$BH$3</f>
        <v>7.2580645161290328E-2</v>
      </c>
      <c r="BJ76">
        <v>19</v>
      </c>
      <c r="BK76" s="5">
        <f>BJ76/BJ79</f>
        <v>8.5585585585585586E-2</v>
      </c>
      <c r="BL76" s="5">
        <f>19/$BL$3</f>
        <v>8.5585585585585586E-2</v>
      </c>
      <c r="BN76">
        <v>30</v>
      </c>
      <c r="BO76" s="5">
        <f>BN76/BN79</f>
        <v>7.8947368421052627E-2</v>
      </c>
      <c r="BP76" s="5">
        <f>30/$BP$3</f>
        <v>7.8947368421052627E-2</v>
      </c>
      <c r="BR76">
        <v>24</v>
      </c>
      <c r="BS76" s="5">
        <f>BR76/BR79</f>
        <v>6.4864864864864868E-2</v>
      </c>
      <c r="BT76" s="5">
        <f>24/$BT$3</f>
        <v>6.4864864864864868E-2</v>
      </c>
      <c r="BV76">
        <v>21</v>
      </c>
      <c r="BW76" s="5">
        <f>BV76/BV79</f>
        <v>8.4000000000000005E-2</v>
      </c>
      <c r="BX76" s="5">
        <f>21/$BX$3</f>
        <v>8.4000000000000005E-2</v>
      </c>
      <c r="BZ76">
        <v>16</v>
      </c>
      <c r="CA76" s="5">
        <f>BZ76/BZ79</f>
        <v>6.4000000000000001E-2</v>
      </c>
      <c r="CB76" s="5">
        <f>16/$CB$3</f>
        <v>6.4000000000000001E-2</v>
      </c>
      <c r="CD76">
        <v>10</v>
      </c>
      <c r="CE76" s="5">
        <f>CD76/CD79</f>
        <v>4.7619047619047616E-2</v>
      </c>
      <c r="CF76" s="5">
        <f>10/$CF$3</f>
        <v>4.7619047619047616E-2</v>
      </c>
      <c r="CH76">
        <v>17</v>
      </c>
      <c r="CI76" s="5">
        <f>CH76/CH79</f>
        <v>7.7272727272727271E-2</v>
      </c>
      <c r="CJ76" s="5">
        <f>17/$CJ$3</f>
        <v>7.7272727272727271E-2</v>
      </c>
      <c r="CL76">
        <v>32</v>
      </c>
      <c r="CM76" s="5">
        <f>CL76/CL79</f>
        <v>0.1</v>
      </c>
      <c r="CN76" s="5">
        <f>32/$CN$3</f>
        <v>0.1</v>
      </c>
    </row>
    <row r="77" spans="1:92" x14ac:dyDescent="0.25">
      <c r="A77" s="1" t="s">
        <v>226</v>
      </c>
      <c r="B77">
        <v>21</v>
      </c>
      <c r="C77" s="5">
        <f>B77/B79</f>
        <v>2.1000000000000001E-2</v>
      </c>
      <c r="D77" s="5">
        <f>21/$D$3</f>
        <v>2.1000000000000001E-2</v>
      </c>
      <c r="F77">
        <v>7</v>
      </c>
      <c r="G77" s="5">
        <f>F77/F79</f>
        <v>1.4830508474576272E-2</v>
      </c>
      <c r="H77" s="5">
        <f>7/$H$3</f>
        <v>1.4830508474576272E-2</v>
      </c>
      <c r="J77">
        <v>8</v>
      </c>
      <c r="K77" s="5">
        <f>J77/J79</f>
        <v>2.8070175438596492E-2</v>
      </c>
      <c r="L77" s="5">
        <f>8/$L$3</f>
        <v>2.8070175438596492E-2</v>
      </c>
      <c r="N77">
        <v>1</v>
      </c>
      <c r="O77" s="5">
        <f>N77/N79</f>
        <v>4.3103448275862068E-3</v>
      </c>
      <c r="P77" s="5">
        <f>1/$P$3</f>
        <v>4.3103448275862068E-3</v>
      </c>
      <c r="R77">
        <v>2</v>
      </c>
      <c r="S77" s="5">
        <f>R77/R79</f>
        <v>6.8027210884353739E-3</v>
      </c>
      <c r="T77" s="5">
        <f>2/$T$3</f>
        <v>6.8027210884353739E-3</v>
      </c>
      <c r="V77">
        <v>3</v>
      </c>
      <c r="W77" s="5">
        <f>V77/V79</f>
        <v>7.2115384615384619E-3</v>
      </c>
      <c r="X77" s="5">
        <f>3/$X$3</f>
        <v>7.2115384615384619E-3</v>
      </c>
      <c r="Z77">
        <v>4</v>
      </c>
      <c r="AA77" s="5">
        <f>Z77/Z79</f>
        <v>9.5238095238095247E-3</v>
      </c>
      <c r="AB77" s="5">
        <f>4/$AB$3</f>
        <v>9.5238095238095247E-3</v>
      </c>
      <c r="AD77">
        <v>13</v>
      </c>
      <c r="AE77" s="5">
        <f>AD77/AD79</f>
        <v>2.5999999999999999E-2</v>
      </c>
      <c r="AF77" s="5">
        <f>13/$AF$3</f>
        <v>2.5999999999999999E-2</v>
      </c>
      <c r="AH77">
        <v>8</v>
      </c>
      <c r="AI77" s="5">
        <f>AH77/AH79</f>
        <v>1.6E-2</v>
      </c>
      <c r="AJ77" s="5">
        <f>8/$AJ$3</f>
        <v>1.6E-2</v>
      </c>
      <c r="AL77">
        <v>6</v>
      </c>
      <c r="AM77" s="5">
        <f>AL77/AL79</f>
        <v>3.5502958579881658E-2</v>
      </c>
      <c r="AN77" s="5">
        <f>6/$AN$3</f>
        <v>3.5502958579881658E-2</v>
      </c>
      <c r="AP77">
        <v>4</v>
      </c>
      <c r="AQ77" s="5">
        <f>AP77/AP79</f>
        <v>1.2861736334405145E-2</v>
      </c>
      <c r="AR77" s="5">
        <f>4/$AR$3</f>
        <v>1.2861736334405145E-2</v>
      </c>
      <c r="AT77">
        <v>9</v>
      </c>
      <c r="AU77" s="5">
        <f>AT77/AT79</f>
        <v>2.3076923076923078E-2</v>
      </c>
      <c r="AV77" s="5">
        <f>9/$AV$3</f>
        <v>2.3076923076923078E-2</v>
      </c>
      <c r="AX77">
        <v>2</v>
      </c>
      <c r="AY77" s="5">
        <f>AX77/AX79</f>
        <v>1.5384615384615385E-2</v>
      </c>
      <c r="AZ77" s="5">
        <f>2/$AZ$3</f>
        <v>1.5384615384615385E-2</v>
      </c>
      <c r="BB77">
        <v>12</v>
      </c>
      <c r="BC77" s="5">
        <f>BB77/BB79</f>
        <v>2.9556650246305417E-2</v>
      </c>
      <c r="BD77" s="5">
        <f>12/$BD$3</f>
        <v>2.9556650246305417E-2</v>
      </c>
      <c r="BF77">
        <v>4</v>
      </c>
      <c r="BG77" s="5">
        <f>BF77/BF79</f>
        <v>1.0752688172043012E-2</v>
      </c>
      <c r="BH77" s="5">
        <f>4/$BH$3</f>
        <v>1.0752688172043012E-2</v>
      </c>
      <c r="BJ77">
        <v>5</v>
      </c>
      <c r="BK77" s="5">
        <f>BJ77/BJ79</f>
        <v>2.2522522522522521E-2</v>
      </c>
      <c r="BL77" s="5">
        <f>5/$BL$3</f>
        <v>2.2522522522522521E-2</v>
      </c>
      <c r="BN77">
        <v>8</v>
      </c>
      <c r="BO77" s="5">
        <f>BN77/BN79</f>
        <v>2.1052631578947368E-2</v>
      </c>
      <c r="BP77" s="5">
        <f>8/$BP$3</f>
        <v>2.1052631578947368E-2</v>
      </c>
      <c r="BR77">
        <v>6</v>
      </c>
      <c r="BS77" s="5">
        <f>BR77/BR79</f>
        <v>1.6216216216216217E-2</v>
      </c>
      <c r="BT77" s="5">
        <f>6/$BT$3</f>
        <v>1.6216216216216217E-2</v>
      </c>
      <c r="BV77">
        <v>7</v>
      </c>
      <c r="BW77" s="5">
        <f>BV77/BV79</f>
        <v>2.8000000000000001E-2</v>
      </c>
      <c r="BX77" s="5">
        <f>7/$BX$3</f>
        <v>2.8000000000000001E-2</v>
      </c>
      <c r="BZ77">
        <v>4</v>
      </c>
      <c r="CA77" s="5">
        <f>BZ77/BZ79</f>
        <v>1.6E-2</v>
      </c>
      <c r="CB77" s="5">
        <f>4/$CB$3</f>
        <v>1.6E-2</v>
      </c>
      <c r="CD77">
        <v>4</v>
      </c>
      <c r="CE77" s="5">
        <f>CD77/CD79</f>
        <v>1.9047619047619049E-2</v>
      </c>
      <c r="CF77" s="5">
        <f>4/$CF$3</f>
        <v>1.9047619047619049E-2</v>
      </c>
      <c r="CH77">
        <v>5</v>
      </c>
      <c r="CI77" s="5">
        <f>CH77/CH79</f>
        <v>2.2727272727272728E-2</v>
      </c>
      <c r="CJ77" s="5">
        <f>5/$CJ$3</f>
        <v>2.2727272727272728E-2</v>
      </c>
      <c r="CL77">
        <v>8</v>
      </c>
      <c r="CM77" s="5">
        <f>CL77/CL79</f>
        <v>2.5000000000000001E-2</v>
      </c>
      <c r="CN77" s="5">
        <f>8/$CN$3</f>
        <v>2.5000000000000001E-2</v>
      </c>
    </row>
    <row r="78" spans="1:92" x14ac:dyDescent="0.25">
      <c r="A78" s="1" t="s">
        <v>12</v>
      </c>
      <c r="B78">
        <v>0</v>
      </c>
      <c r="C78" s="5">
        <f>B78/B79</f>
        <v>0</v>
      </c>
      <c r="D78" s="5">
        <f>0/$D$3</f>
        <v>0</v>
      </c>
      <c r="F78">
        <v>0</v>
      </c>
      <c r="G78" s="5">
        <f>F78/F79</f>
        <v>0</v>
      </c>
      <c r="H78" s="5">
        <f>0/$H$3</f>
        <v>0</v>
      </c>
      <c r="J78">
        <v>0</v>
      </c>
      <c r="K78" s="5">
        <f>J78/J79</f>
        <v>0</v>
      </c>
      <c r="L78" s="5">
        <f>0/$L$3</f>
        <v>0</v>
      </c>
      <c r="N78">
        <v>0</v>
      </c>
      <c r="O78" s="5">
        <f>N78/N79</f>
        <v>0</v>
      </c>
      <c r="P78" s="5">
        <f>0/$P$3</f>
        <v>0</v>
      </c>
      <c r="R78">
        <v>0</v>
      </c>
      <c r="S78" s="5">
        <f>R78/R79</f>
        <v>0</v>
      </c>
      <c r="T78" s="5">
        <f>0/$T$3</f>
        <v>0</v>
      </c>
      <c r="V78">
        <v>0</v>
      </c>
      <c r="W78" s="5">
        <f>V78/V79</f>
        <v>0</v>
      </c>
      <c r="X78" s="5">
        <f>0/$X$3</f>
        <v>0</v>
      </c>
      <c r="Z78">
        <v>0</v>
      </c>
      <c r="AA78" s="5">
        <f>Z78/Z79</f>
        <v>0</v>
      </c>
      <c r="AB78" s="5">
        <f>0/$AB$3</f>
        <v>0</v>
      </c>
      <c r="AD78">
        <v>0</v>
      </c>
      <c r="AE78" s="5">
        <f>AD78/AD79</f>
        <v>0</v>
      </c>
      <c r="AF78" s="5">
        <f>0/$AF$3</f>
        <v>0</v>
      </c>
      <c r="AH78">
        <v>0</v>
      </c>
      <c r="AI78" s="5">
        <f>AH78/AH79</f>
        <v>0</v>
      </c>
      <c r="AJ78" s="5">
        <f>0/$AJ$3</f>
        <v>0</v>
      </c>
      <c r="AL78">
        <v>0</v>
      </c>
      <c r="AM78" s="5">
        <f>AL78/AL79</f>
        <v>0</v>
      </c>
      <c r="AN78" s="5">
        <f>0/$AN$3</f>
        <v>0</v>
      </c>
      <c r="AP78">
        <v>0</v>
      </c>
      <c r="AQ78" s="5">
        <f>AP78/AP79</f>
        <v>0</v>
      </c>
      <c r="AR78" s="5">
        <f>0/$AR$3</f>
        <v>0</v>
      </c>
      <c r="AT78">
        <v>0</v>
      </c>
      <c r="AU78" s="5">
        <f>AT78/AT79</f>
        <v>0</v>
      </c>
      <c r="AV78" s="5">
        <f>0/$AV$3</f>
        <v>0</v>
      </c>
      <c r="AX78">
        <v>0</v>
      </c>
      <c r="AY78" s="5">
        <f>AX78/AX79</f>
        <v>0</v>
      </c>
      <c r="AZ78" s="5">
        <f>0/$AZ$3</f>
        <v>0</v>
      </c>
      <c r="BB78">
        <v>0</v>
      </c>
      <c r="BC78" s="5">
        <f>BB78/BB79</f>
        <v>0</v>
      </c>
      <c r="BD78" s="5">
        <f>0/$BD$3</f>
        <v>0</v>
      </c>
      <c r="BF78">
        <v>0</v>
      </c>
      <c r="BG78" s="5">
        <f>BF78/BF79</f>
        <v>0</v>
      </c>
      <c r="BH78" s="5">
        <f>0/$BH$3</f>
        <v>0</v>
      </c>
      <c r="BJ78">
        <v>0</v>
      </c>
      <c r="BK78" s="5">
        <f>BJ78/BJ79</f>
        <v>0</v>
      </c>
      <c r="BL78" s="5">
        <f>0/$BL$3</f>
        <v>0</v>
      </c>
      <c r="BN78">
        <v>0</v>
      </c>
      <c r="BO78" s="5">
        <f>BN78/BN79</f>
        <v>0</v>
      </c>
      <c r="BP78" s="5">
        <f>0/$BP$3</f>
        <v>0</v>
      </c>
      <c r="BR78">
        <v>0</v>
      </c>
      <c r="BS78" s="5">
        <f>BR78/BR79</f>
        <v>0</v>
      </c>
      <c r="BT78" s="5">
        <f>0/$BT$3</f>
        <v>0</v>
      </c>
      <c r="BV78">
        <v>0</v>
      </c>
      <c r="BW78" s="5">
        <f>BV78/BV79</f>
        <v>0</v>
      </c>
      <c r="BX78" s="5">
        <f>0/$BX$3</f>
        <v>0</v>
      </c>
      <c r="BZ78">
        <v>0</v>
      </c>
      <c r="CA78" s="5">
        <f>BZ78/BZ79</f>
        <v>0</v>
      </c>
      <c r="CB78" s="5">
        <f>0/$CB$3</f>
        <v>0</v>
      </c>
      <c r="CD78">
        <v>0</v>
      </c>
      <c r="CE78" s="5">
        <f>CD78/CD79</f>
        <v>0</v>
      </c>
      <c r="CF78" s="5">
        <f>0/$CF$3</f>
        <v>0</v>
      </c>
      <c r="CH78">
        <v>0</v>
      </c>
      <c r="CI78" s="5">
        <f>CH78/CH79</f>
        <v>0</v>
      </c>
      <c r="CJ78" s="5">
        <f>0/$CJ$3</f>
        <v>0</v>
      </c>
      <c r="CL78">
        <v>0</v>
      </c>
      <c r="CM78" s="5">
        <f>CL78/CL79</f>
        <v>0</v>
      </c>
      <c r="CN78" s="5">
        <f>0/$CN$3</f>
        <v>0</v>
      </c>
    </row>
    <row r="79" spans="1:92" s="6" customFormat="1" x14ac:dyDescent="0.25">
      <c r="A79" s="7" t="s">
        <v>13</v>
      </c>
      <c r="B79" s="6">
        <v>1000</v>
      </c>
      <c r="F79" s="6">
        <v>472</v>
      </c>
      <c r="J79" s="6">
        <v>285</v>
      </c>
      <c r="N79" s="6">
        <v>232</v>
      </c>
      <c r="R79" s="6">
        <v>294</v>
      </c>
      <c r="V79" s="6">
        <v>416</v>
      </c>
      <c r="Z79" s="6">
        <v>420</v>
      </c>
      <c r="AD79" s="6">
        <v>500</v>
      </c>
      <c r="AH79" s="6">
        <v>500</v>
      </c>
      <c r="AL79" s="6">
        <v>169</v>
      </c>
      <c r="AP79" s="6">
        <v>311</v>
      </c>
      <c r="AT79" s="6">
        <v>390</v>
      </c>
      <c r="AX79" s="6">
        <v>130</v>
      </c>
      <c r="BB79" s="6">
        <v>406</v>
      </c>
      <c r="BF79" s="6">
        <v>372</v>
      </c>
      <c r="BJ79" s="6">
        <v>222</v>
      </c>
      <c r="BN79" s="6">
        <v>380</v>
      </c>
      <c r="BR79" s="6">
        <v>370</v>
      </c>
      <c r="BV79" s="6">
        <v>250</v>
      </c>
      <c r="BZ79" s="6">
        <v>250</v>
      </c>
      <c r="CD79" s="6">
        <v>210</v>
      </c>
      <c r="CH79" s="6">
        <v>220</v>
      </c>
      <c r="CL79" s="6">
        <v>320</v>
      </c>
    </row>
    <row r="80" spans="1:92" hidden="1" x14ac:dyDescent="0.25">
      <c r="A80" s="8" t="s">
        <v>14</v>
      </c>
      <c r="B80">
        <v>0</v>
      </c>
      <c r="F80">
        <v>0</v>
      </c>
      <c r="J80">
        <v>0</v>
      </c>
      <c r="N80">
        <v>0</v>
      </c>
      <c r="R80">
        <v>0</v>
      </c>
      <c r="V80">
        <v>0</v>
      </c>
      <c r="Z80">
        <v>0</v>
      </c>
      <c r="AD80">
        <v>0</v>
      </c>
      <c r="AH80">
        <v>0</v>
      </c>
      <c r="AL80">
        <v>0</v>
      </c>
      <c r="AP80">
        <v>0</v>
      </c>
      <c r="AT80">
        <v>0</v>
      </c>
      <c r="AX80">
        <v>0</v>
      </c>
      <c r="BB80">
        <v>0</v>
      </c>
      <c r="BF80">
        <v>0</v>
      </c>
      <c r="BJ80">
        <v>0</v>
      </c>
      <c r="BN80">
        <v>0</v>
      </c>
      <c r="BR80">
        <v>0</v>
      </c>
      <c r="BV80">
        <v>0</v>
      </c>
      <c r="BZ80">
        <v>0</v>
      </c>
      <c r="CD80">
        <v>0</v>
      </c>
      <c r="CH80">
        <v>0</v>
      </c>
      <c r="CL80">
        <v>0</v>
      </c>
    </row>
    <row r="81" spans="1:92" hidden="1" x14ac:dyDescent="0.25">
      <c r="A81" s="8" t="s">
        <v>15</v>
      </c>
      <c r="B81">
        <v>0</v>
      </c>
      <c r="F81">
        <v>0</v>
      </c>
      <c r="J81">
        <v>0</v>
      </c>
      <c r="N81">
        <v>0</v>
      </c>
      <c r="R81">
        <v>0</v>
      </c>
      <c r="V81">
        <v>0</v>
      </c>
      <c r="Z81">
        <v>0</v>
      </c>
      <c r="AD81">
        <v>0</v>
      </c>
      <c r="AH81">
        <v>0</v>
      </c>
      <c r="AL81">
        <v>0</v>
      </c>
      <c r="AP81">
        <v>0</v>
      </c>
      <c r="AT81">
        <v>0</v>
      </c>
      <c r="AX81">
        <v>0</v>
      </c>
      <c r="BB81">
        <v>0</v>
      </c>
      <c r="BF81">
        <v>0</v>
      </c>
      <c r="BJ81">
        <v>0</v>
      </c>
      <c r="BN81">
        <v>0</v>
      </c>
      <c r="BR81">
        <v>0</v>
      </c>
      <c r="BV81">
        <v>0</v>
      </c>
      <c r="BZ81">
        <v>0</v>
      </c>
      <c r="CD81">
        <v>0</v>
      </c>
      <c r="CH81">
        <v>0</v>
      </c>
      <c r="CL81">
        <v>0</v>
      </c>
    </row>
    <row r="83" spans="1:92" x14ac:dyDescent="0.25">
      <c r="AN83" s="2" t="s">
        <v>5</v>
      </c>
      <c r="AR83" s="2" t="s">
        <v>6</v>
      </c>
      <c r="AV83" s="2" t="s">
        <v>7</v>
      </c>
      <c r="AZ83" s="2" t="s">
        <v>8</v>
      </c>
      <c r="BD83" s="2" t="s">
        <v>5</v>
      </c>
      <c r="BH83" s="2" t="s">
        <v>6</v>
      </c>
      <c r="BL83" s="2" t="s">
        <v>7</v>
      </c>
      <c r="BP83" s="2" t="s">
        <v>5</v>
      </c>
      <c r="BT83" s="2" t="s">
        <v>6</v>
      </c>
      <c r="BX83" s="2" t="s">
        <v>7</v>
      </c>
      <c r="CB83" s="2" t="s">
        <v>5</v>
      </c>
      <c r="CF83" s="2" t="s">
        <v>6</v>
      </c>
      <c r="CJ83" s="2" t="s">
        <v>7</v>
      </c>
      <c r="CN83" s="2" t="s">
        <v>8</v>
      </c>
    </row>
    <row r="84" spans="1:92" s="3" customFormat="1" x14ac:dyDescent="0.25">
      <c r="A84" s="3" t="s">
        <v>568</v>
      </c>
      <c r="D84" s="4" t="s">
        <v>10</v>
      </c>
      <c r="H84" s="4" t="s">
        <v>10</v>
      </c>
      <c r="L84" s="4" t="s">
        <v>10</v>
      </c>
      <c r="P84" s="4" t="s">
        <v>10</v>
      </c>
      <c r="T84" s="4" t="s">
        <v>10</v>
      </c>
      <c r="X84" s="4" t="s">
        <v>10</v>
      </c>
      <c r="AB84" s="4" t="s">
        <v>10</v>
      </c>
      <c r="AF84" s="4" t="s">
        <v>10</v>
      </c>
      <c r="AJ84" s="4" t="s">
        <v>10</v>
      </c>
      <c r="AN84" s="4" t="s">
        <v>10</v>
      </c>
      <c r="AR84" s="4" t="s">
        <v>10</v>
      </c>
      <c r="AV84" s="4" t="s">
        <v>10</v>
      </c>
      <c r="AZ84" s="4" t="s">
        <v>10</v>
      </c>
      <c r="BD84" s="4" t="s">
        <v>10</v>
      </c>
      <c r="BH84" s="4" t="s">
        <v>10</v>
      </c>
      <c r="BL84" s="4" t="s">
        <v>10</v>
      </c>
      <c r="BP84" s="4" t="s">
        <v>10</v>
      </c>
      <c r="BT84" s="4" t="s">
        <v>10</v>
      </c>
      <c r="BX84" s="4" t="s">
        <v>10</v>
      </c>
      <c r="CB84" s="4" t="s">
        <v>10</v>
      </c>
      <c r="CF84" s="4" t="s">
        <v>10</v>
      </c>
      <c r="CJ84" s="4" t="s">
        <v>10</v>
      </c>
      <c r="CN84" s="4" t="s">
        <v>10</v>
      </c>
    </row>
    <row r="85" spans="1:92" x14ac:dyDescent="0.25">
      <c r="A85" s="1" t="s">
        <v>569</v>
      </c>
      <c r="B85">
        <v>59</v>
      </c>
      <c r="C85" s="5">
        <f>B85/B92</f>
        <v>5.8999999999999997E-2</v>
      </c>
      <c r="D85" s="5">
        <f>59/$D$3</f>
        <v>5.8999999999999997E-2</v>
      </c>
      <c r="F85">
        <v>34</v>
      </c>
      <c r="G85" s="5">
        <f>F85/F92</f>
        <v>7.2033898305084748E-2</v>
      </c>
      <c r="H85" s="5">
        <f>34/$H$3</f>
        <v>7.2033898305084748E-2</v>
      </c>
      <c r="J85">
        <v>24</v>
      </c>
      <c r="K85" s="5">
        <f>J85/J92</f>
        <v>8.4210526315789472E-2</v>
      </c>
      <c r="L85" s="5">
        <f>24/$L$3</f>
        <v>8.4210526315789472E-2</v>
      </c>
      <c r="N85">
        <v>23</v>
      </c>
      <c r="O85" s="5">
        <f>N85/N92</f>
        <v>9.9137931034482762E-2</v>
      </c>
      <c r="P85" s="5">
        <f>23/$P$3</f>
        <v>9.9137931034482762E-2</v>
      </c>
      <c r="R85">
        <v>26</v>
      </c>
      <c r="S85" s="5">
        <f>R85/R92</f>
        <v>8.8435374149659865E-2</v>
      </c>
      <c r="T85" s="5">
        <f>26/$T$3</f>
        <v>8.8435374149659865E-2</v>
      </c>
      <c r="V85">
        <v>31</v>
      </c>
      <c r="W85" s="5">
        <f>V85/V92</f>
        <v>7.4519230769230768E-2</v>
      </c>
      <c r="X85" s="5">
        <f>31/$X$3</f>
        <v>7.4519230769230768E-2</v>
      </c>
      <c r="Z85">
        <v>30</v>
      </c>
      <c r="AA85" s="5">
        <f>Z85/Z92</f>
        <v>7.1428571428571425E-2</v>
      </c>
      <c r="AB85" s="5">
        <f>30/$AB$3</f>
        <v>7.1428571428571425E-2</v>
      </c>
      <c r="AD85">
        <v>28</v>
      </c>
      <c r="AE85" s="5">
        <f>AD85/AD92</f>
        <v>5.6000000000000001E-2</v>
      </c>
      <c r="AF85" s="5">
        <f>28/$AF$3</f>
        <v>5.6000000000000001E-2</v>
      </c>
      <c r="AH85">
        <v>31</v>
      </c>
      <c r="AI85" s="5">
        <f>AH85/AH92</f>
        <v>6.2E-2</v>
      </c>
      <c r="AJ85" s="5">
        <f>31/$AJ$3</f>
        <v>6.2E-2</v>
      </c>
      <c r="AL85">
        <v>12</v>
      </c>
      <c r="AM85" s="5">
        <f>AL85/AL92</f>
        <v>7.1005917159763315E-2</v>
      </c>
      <c r="AN85" s="5">
        <f>12/$AN$3</f>
        <v>7.1005917159763315E-2</v>
      </c>
      <c r="AP85">
        <v>23</v>
      </c>
      <c r="AQ85" s="5">
        <f>AP85/AP92</f>
        <v>7.3954983922829579E-2</v>
      </c>
      <c r="AR85" s="5">
        <f>23/$AR$3</f>
        <v>7.3954983922829579E-2</v>
      </c>
      <c r="AT85">
        <v>18</v>
      </c>
      <c r="AU85" s="5">
        <f>AT85/AT92</f>
        <v>4.6153846153846156E-2</v>
      </c>
      <c r="AV85" s="5">
        <f>18/$AV$3</f>
        <v>4.6153846153846156E-2</v>
      </c>
      <c r="AX85">
        <v>6</v>
      </c>
      <c r="AY85" s="5">
        <f>AX85/AX92</f>
        <v>4.6153846153846156E-2</v>
      </c>
      <c r="AZ85" s="5">
        <f>6/$AZ$3</f>
        <v>4.6153846153846156E-2</v>
      </c>
      <c r="BB85">
        <v>23</v>
      </c>
      <c r="BC85" s="5">
        <f>BB85/BB92</f>
        <v>5.6650246305418719E-2</v>
      </c>
      <c r="BD85" s="5">
        <f>23/$BD$3</f>
        <v>5.6650246305418719E-2</v>
      </c>
      <c r="BF85">
        <v>24</v>
      </c>
      <c r="BG85" s="5">
        <f>BF85/BF92</f>
        <v>6.4516129032258063E-2</v>
      </c>
      <c r="BH85" s="5">
        <f>24/$BH$3</f>
        <v>6.4516129032258063E-2</v>
      </c>
      <c r="BJ85">
        <v>12</v>
      </c>
      <c r="BK85" s="5">
        <f>BJ85/BJ92</f>
        <v>5.4054054054054057E-2</v>
      </c>
      <c r="BL85" s="5">
        <f>12/$BL$3</f>
        <v>5.4054054054054057E-2</v>
      </c>
      <c r="BN85">
        <v>28</v>
      </c>
      <c r="BO85" s="5">
        <f>BN85/BN92</f>
        <v>7.3684210526315783E-2</v>
      </c>
      <c r="BP85" s="5">
        <f>28/$BP$3</f>
        <v>7.3684210526315783E-2</v>
      </c>
      <c r="BR85">
        <v>18</v>
      </c>
      <c r="BS85" s="5">
        <f>BR85/BR92</f>
        <v>4.8648648648648651E-2</v>
      </c>
      <c r="BT85" s="5">
        <f>18/$BT$3</f>
        <v>4.8648648648648651E-2</v>
      </c>
      <c r="BV85">
        <v>13</v>
      </c>
      <c r="BW85" s="5">
        <f>BV85/BV92</f>
        <v>5.1999999999999998E-2</v>
      </c>
      <c r="BX85" s="5">
        <f>13/$BX$3</f>
        <v>5.1999999999999998E-2</v>
      </c>
      <c r="BZ85">
        <v>14</v>
      </c>
      <c r="CA85" s="5">
        <f>BZ85/BZ92</f>
        <v>5.6000000000000001E-2</v>
      </c>
      <c r="CB85" s="5">
        <f>14/$CB$3</f>
        <v>5.6000000000000001E-2</v>
      </c>
      <c r="CD85">
        <v>13</v>
      </c>
      <c r="CE85" s="5">
        <f>CD85/CD92</f>
        <v>6.1904761904761907E-2</v>
      </c>
      <c r="CF85" s="5">
        <f>13/$CF$3</f>
        <v>6.1904761904761907E-2</v>
      </c>
      <c r="CH85">
        <v>17</v>
      </c>
      <c r="CI85" s="5">
        <f>CH85/CH92</f>
        <v>7.7272727272727271E-2</v>
      </c>
      <c r="CJ85" s="5">
        <f>17/$CJ$3</f>
        <v>7.7272727272727271E-2</v>
      </c>
      <c r="CL85">
        <v>15</v>
      </c>
      <c r="CM85" s="5">
        <f>CL85/CL92</f>
        <v>4.6875E-2</v>
      </c>
      <c r="CN85" s="5">
        <f>15/$CN$3</f>
        <v>4.6875E-2</v>
      </c>
    </row>
    <row r="86" spans="1:92" x14ac:dyDescent="0.25">
      <c r="A86" s="1" t="s">
        <v>570</v>
      </c>
      <c r="B86">
        <v>85</v>
      </c>
      <c r="C86" s="5">
        <f>B86/B92</f>
        <v>8.5000000000000006E-2</v>
      </c>
      <c r="D86" s="5">
        <f>85/$D$3</f>
        <v>8.5000000000000006E-2</v>
      </c>
      <c r="F86">
        <v>49</v>
      </c>
      <c r="G86" s="5">
        <f>F86/F92</f>
        <v>0.1038135593220339</v>
      </c>
      <c r="H86" s="5">
        <f>49/$H$3</f>
        <v>0.1038135593220339</v>
      </c>
      <c r="J86">
        <v>42</v>
      </c>
      <c r="K86" s="5">
        <f>J86/J92</f>
        <v>0.14736842105263157</v>
      </c>
      <c r="L86" s="10">
        <f>42/$L$3</f>
        <v>0.14736842105263157</v>
      </c>
      <c r="N86">
        <v>41</v>
      </c>
      <c r="O86" s="5">
        <f>N86/N92</f>
        <v>0.17672413793103448</v>
      </c>
      <c r="P86" s="10">
        <f>41/$P$3</f>
        <v>0.17672413793103448</v>
      </c>
      <c r="R86">
        <v>31</v>
      </c>
      <c r="S86" s="5">
        <f>R86/R92</f>
        <v>0.10544217687074831</v>
      </c>
      <c r="T86" s="5">
        <f>31/$T$3</f>
        <v>0.10544217687074831</v>
      </c>
      <c r="V86">
        <v>46</v>
      </c>
      <c r="W86" s="5">
        <f>V86/V92</f>
        <v>0.11057692307692307</v>
      </c>
      <c r="X86" s="5">
        <f>46/$X$3</f>
        <v>0.11057692307692307</v>
      </c>
      <c r="Z86">
        <v>46</v>
      </c>
      <c r="AA86" s="5">
        <f>Z86/Z92</f>
        <v>0.10952380952380952</v>
      </c>
      <c r="AB86" s="5">
        <f>46/$AB$3</f>
        <v>0.10952380952380952</v>
      </c>
      <c r="AD86">
        <v>41</v>
      </c>
      <c r="AE86" s="5">
        <f>AD86/AD92</f>
        <v>8.2000000000000003E-2</v>
      </c>
      <c r="AF86" s="5">
        <f>41/$AF$3</f>
        <v>8.2000000000000003E-2</v>
      </c>
      <c r="AH86">
        <v>44</v>
      </c>
      <c r="AI86" s="5">
        <f>AH86/AH92</f>
        <v>8.7999999999999995E-2</v>
      </c>
      <c r="AJ86" s="5">
        <f>44/$AJ$3</f>
        <v>8.7999999999999995E-2</v>
      </c>
      <c r="AL86">
        <v>11</v>
      </c>
      <c r="AM86" s="5">
        <f>AL86/AL92</f>
        <v>6.5088757396449703E-2</v>
      </c>
      <c r="AN86" s="5">
        <f>11/$AN$3</f>
        <v>6.5088757396449703E-2</v>
      </c>
      <c r="AP86">
        <v>25</v>
      </c>
      <c r="AQ86" s="5">
        <f>AP86/AP92</f>
        <v>8.0385852090032156E-2</v>
      </c>
      <c r="AR86" s="5">
        <f>25/$AR$3</f>
        <v>8.0385852090032156E-2</v>
      </c>
      <c r="AT86">
        <v>38</v>
      </c>
      <c r="AU86" s="5">
        <f>AT86/AT92</f>
        <v>9.7435897435897437E-2</v>
      </c>
      <c r="AV86" s="5">
        <f>38/$AV$3</f>
        <v>9.7435897435897437E-2</v>
      </c>
      <c r="AX86">
        <v>11</v>
      </c>
      <c r="AY86" s="5">
        <f>AX86/AX92</f>
        <v>8.461538461538462E-2</v>
      </c>
      <c r="AZ86" s="5">
        <f>11/$AZ$3</f>
        <v>8.461538461538462E-2</v>
      </c>
      <c r="BB86">
        <v>37</v>
      </c>
      <c r="BC86" s="5">
        <f>BB86/BB92</f>
        <v>9.1133004926108374E-2</v>
      </c>
      <c r="BD86" s="5">
        <f>37/$BD$3</f>
        <v>9.1133004926108374E-2</v>
      </c>
      <c r="BF86">
        <v>30</v>
      </c>
      <c r="BG86" s="5">
        <f>BF86/BF92</f>
        <v>8.0645161290322578E-2</v>
      </c>
      <c r="BH86" s="5">
        <f>30/$BH$3</f>
        <v>8.0645161290322578E-2</v>
      </c>
      <c r="BJ86">
        <v>18</v>
      </c>
      <c r="BK86" s="5">
        <f>BJ86/BJ92</f>
        <v>8.1081081081081086E-2</v>
      </c>
      <c r="BL86" s="5">
        <f>18/$BL$3</f>
        <v>8.1081081081081086E-2</v>
      </c>
      <c r="BN86">
        <v>30</v>
      </c>
      <c r="BO86" s="5">
        <f>BN86/BN92</f>
        <v>7.8947368421052627E-2</v>
      </c>
      <c r="BP86" s="5">
        <f>30/$BP$3</f>
        <v>7.8947368421052627E-2</v>
      </c>
      <c r="BR86">
        <v>40</v>
      </c>
      <c r="BS86" s="5">
        <f>BR86/BR92</f>
        <v>0.10810810810810811</v>
      </c>
      <c r="BT86" s="5">
        <f>40/$BT$3</f>
        <v>0.10810810810810811</v>
      </c>
      <c r="BV86">
        <v>15</v>
      </c>
      <c r="BW86" s="5">
        <f>BV86/BV92</f>
        <v>0.06</v>
      </c>
      <c r="BX86" s="5">
        <f>15/$BX$3</f>
        <v>0.06</v>
      </c>
      <c r="BZ86">
        <v>21</v>
      </c>
      <c r="CA86" s="5">
        <f>BZ86/BZ92</f>
        <v>8.4000000000000005E-2</v>
      </c>
      <c r="CB86" s="5">
        <f>21/$CB$3</f>
        <v>8.4000000000000005E-2</v>
      </c>
      <c r="CD86">
        <v>16</v>
      </c>
      <c r="CE86" s="5">
        <f>CD86/CD92</f>
        <v>7.6190476190476197E-2</v>
      </c>
      <c r="CF86" s="5">
        <f>16/$CF$3</f>
        <v>7.6190476190476197E-2</v>
      </c>
      <c r="CH86">
        <v>26</v>
      </c>
      <c r="CI86" s="5">
        <f>CH86/CH92</f>
        <v>0.11818181818181818</v>
      </c>
      <c r="CJ86" s="5">
        <f>26/$CJ$3</f>
        <v>0.11818181818181818</v>
      </c>
      <c r="CL86">
        <v>22</v>
      </c>
      <c r="CM86" s="5">
        <f>CL86/CL92</f>
        <v>6.8750000000000006E-2</v>
      </c>
      <c r="CN86" s="5">
        <f>22/$CN$3</f>
        <v>6.8750000000000006E-2</v>
      </c>
    </row>
    <row r="87" spans="1:92" x14ac:dyDescent="0.25">
      <c r="A87" s="1" t="s">
        <v>571</v>
      </c>
      <c r="B87">
        <v>75</v>
      </c>
      <c r="C87" s="5">
        <f>B87/B92</f>
        <v>7.4999999999999997E-2</v>
      </c>
      <c r="D87" s="5">
        <f>75/$D$3</f>
        <v>7.4999999999999997E-2</v>
      </c>
      <c r="F87">
        <v>44</v>
      </c>
      <c r="G87" s="5">
        <f>F87/F92</f>
        <v>9.3220338983050849E-2</v>
      </c>
      <c r="H87" s="5">
        <f>44/$H$3</f>
        <v>9.3220338983050849E-2</v>
      </c>
      <c r="J87">
        <v>39</v>
      </c>
      <c r="K87" s="5">
        <f>J87/J92</f>
        <v>0.1368421052631579</v>
      </c>
      <c r="L87" s="10">
        <f>39/$L$3</f>
        <v>0.1368421052631579</v>
      </c>
      <c r="N87">
        <v>33</v>
      </c>
      <c r="O87" s="5">
        <f>N87/N92</f>
        <v>0.14224137931034483</v>
      </c>
      <c r="P87" s="10">
        <f>33/$P$3</f>
        <v>0.14224137931034483</v>
      </c>
      <c r="R87">
        <v>32</v>
      </c>
      <c r="S87" s="5">
        <f>R87/R92</f>
        <v>0.10884353741496598</v>
      </c>
      <c r="T87" s="5">
        <f>32/$T$3</f>
        <v>0.10884353741496598</v>
      </c>
      <c r="V87">
        <v>42</v>
      </c>
      <c r="W87" s="5">
        <f>V87/V92</f>
        <v>0.10096153846153846</v>
      </c>
      <c r="X87" s="5">
        <f>42/$X$3</f>
        <v>0.10096153846153846</v>
      </c>
      <c r="Z87">
        <v>41</v>
      </c>
      <c r="AA87" s="5">
        <f>Z87/Z92</f>
        <v>9.7619047619047619E-2</v>
      </c>
      <c r="AB87" s="5">
        <f>41/$AB$3</f>
        <v>9.7619047619047619E-2</v>
      </c>
      <c r="AD87">
        <v>30</v>
      </c>
      <c r="AE87" s="5">
        <f>AD87/AD92</f>
        <v>0.06</v>
      </c>
      <c r="AF87" s="5">
        <f>30/$AF$3</f>
        <v>0.06</v>
      </c>
      <c r="AH87">
        <v>45</v>
      </c>
      <c r="AI87" s="5">
        <f>AH87/AH92</f>
        <v>0.09</v>
      </c>
      <c r="AJ87" s="5">
        <f>45/$AJ$3</f>
        <v>0.09</v>
      </c>
      <c r="AL87">
        <v>15</v>
      </c>
      <c r="AM87" s="5">
        <f>AL87/AL92</f>
        <v>8.8757396449704137E-2</v>
      </c>
      <c r="AN87" s="5">
        <f>15/$AN$3</f>
        <v>8.8757396449704137E-2</v>
      </c>
      <c r="AP87">
        <v>15</v>
      </c>
      <c r="AQ87" s="5">
        <f>AP87/AP92</f>
        <v>4.8231511254019289E-2</v>
      </c>
      <c r="AR87" s="5">
        <f>15/$AR$3</f>
        <v>4.8231511254019289E-2</v>
      </c>
      <c r="AT87">
        <v>32</v>
      </c>
      <c r="AU87" s="5">
        <f>AT87/AT92</f>
        <v>8.2051282051282051E-2</v>
      </c>
      <c r="AV87" s="5">
        <f>32/$AV$3</f>
        <v>8.2051282051282051E-2</v>
      </c>
      <c r="AX87">
        <v>13</v>
      </c>
      <c r="AY87" s="5">
        <f>AX87/AX92</f>
        <v>0.1</v>
      </c>
      <c r="AZ87" s="5">
        <f>13/$AZ$3</f>
        <v>0.1</v>
      </c>
      <c r="BB87">
        <v>31</v>
      </c>
      <c r="BC87" s="5">
        <f>BB87/BB92</f>
        <v>7.6354679802955669E-2</v>
      </c>
      <c r="BD87" s="5">
        <f>31/$BD$3</f>
        <v>7.6354679802955669E-2</v>
      </c>
      <c r="BF87">
        <v>26</v>
      </c>
      <c r="BG87" s="5">
        <f>BF87/BF92</f>
        <v>6.9892473118279563E-2</v>
      </c>
      <c r="BH87" s="5">
        <f>26/$BH$3</f>
        <v>6.9892473118279563E-2</v>
      </c>
      <c r="BJ87">
        <v>18</v>
      </c>
      <c r="BK87" s="5">
        <f>BJ87/BJ92</f>
        <v>8.1081081081081086E-2</v>
      </c>
      <c r="BL87" s="5">
        <f>18/$BL$3</f>
        <v>8.1081081081081086E-2</v>
      </c>
      <c r="BN87">
        <v>28</v>
      </c>
      <c r="BO87" s="5">
        <f>BN87/BN92</f>
        <v>7.3684210526315783E-2</v>
      </c>
      <c r="BP87" s="5">
        <f>28/$BP$3</f>
        <v>7.3684210526315783E-2</v>
      </c>
      <c r="BR87">
        <v>35</v>
      </c>
      <c r="BS87" s="5">
        <f>BR87/BR92</f>
        <v>9.45945945945946E-2</v>
      </c>
      <c r="BT87" s="5">
        <f>35/$BT$3</f>
        <v>9.45945945945946E-2</v>
      </c>
      <c r="BV87">
        <v>12</v>
      </c>
      <c r="BW87" s="5">
        <f>BV87/BV92</f>
        <v>4.8000000000000001E-2</v>
      </c>
      <c r="BX87" s="5">
        <f>12/$BX$3</f>
        <v>4.8000000000000001E-2</v>
      </c>
      <c r="BZ87">
        <v>16</v>
      </c>
      <c r="CA87" s="5">
        <f>BZ87/BZ92</f>
        <v>6.4000000000000001E-2</v>
      </c>
      <c r="CB87" s="5">
        <f>16/$CB$3</f>
        <v>6.4000000000000001E-2</v>
      </c>
      <c r="CD87">
        <v>18</v>
      </c>
      <c r="CE87" s="5">
        <f>CD87/CD92</f>
        <v>8.5714285714285715E-2</v>
      </c>
      <c r="CF87" s="5">
        <f>18/$CF$3</f>
        <v>8.5714285714285715E-2</v>
      </c>
      <c r="CH87">
        <v>17</v>
      </c>
      <c r="CI87" s="5">
        <f>CH87/CH92</f>
        <v>7.7272727272727271E-2</v>
      </c>
      <c r="CJ87" s="5">
        <f>17/$CJ$3</f>
        <v>7.7272727272727271E-2</v>
      </c>
      <c r="CL87">
        <v>24</v>
      </c>
      <c r="CM87" s="5">
        <f>CL87/CL92</f>
        <v>7.4999999999999997E-2</v>
      </c>
      <c r="CN87" s="5">
        <f>24/$CN$3</f>
        <v>7.4999999999999997E-2</v>
      </c>
    </row>
    <row r="88" spans="1:92" x14ac:dyDescent="0.25">
      <c r="A88" s="1" t="s">
        <v>572</v>
      </c>
      <c r="B88">
        <v>90</v>
      </c>
      <c r="C88" s="5">
        <f>B88/B92</f>
        <v>0.09</v>
      </c>
      <c r="D88" s="5">
        <f>90/$D$3</f>
        <v>0.09</v>
      </c>
      <c r="F88">
        <v>54</v>
      </c>
      <c r="G88" s="5">
        <f>F88/F92</f>
        <v>0.11440677966101695</v>
      </c>
      <c r="H88" s="5">
        <f>54/$H$3</f>
        <v>0.11440677966101695</v>
      </c>
      <c r="J88">
        <v>37</v>
      </c>
      <c r="K88" s="5">
        <f>J88/J92</f>
        <v>0.12982456140350876</v>
      </c>
      <c r="L88" s="5">
        <f>37/$L$3</f>
        <v>0.12982456140350876</v>
      </c>
      <c r="N88">
        <v>26</v>
      </c>
      <c r="O88" s="5">
        <f>N88/N92</f>
        <v>0.11206896551724138</v>
      </c>
      <c r="P88" s="5">
        <f>26/$P$3</f>
        <v>0.11206896551724138</v>
      </c>
      <c r="R88">
        <v>32</v>
      </c>
      <c r="S88" s="5">
        <f>R88/R92</f>
        <v>0.10884353741496598</v>
      </c>
      <c r="T88" s="5">
        <f>32/$T$3</f>
        <v>0.10884353741496598</v>
      </c>
      <c r="V88">
        <v>45</v>
      </c>
      <c r="W88" s="5">
        <f>V88/V92</f>
        <v>0.10817307692307693</v>
      </c>
      <c r="X88" s="5">
        <f>45/$X$3</f>
        <v>0.10817307692307693</v>
      </c>
      <c r="Z88">
        <v>49</v>
      </c>
      <c r="AA88" s="5">
        <f>Z88/Z92</f>
        <v>0.11666666666666667</v>
      </c>
      <c r="AB88" s="5">
        <f>49/$AB$3</f>
        <v>0.11666666666666667</v>
      </c>
      <c r="AD88">
        <v>48</v>
      </c>
      <c r="AE88" s="5">
        <f>AD88/AD92</f>
        <v>9.6000000000000002E-2</v>
      </c>
      <c r="AF88" s="5">
        <f>48/$AF$3</f>
        <v>9.6000000000000002E-2</v>
      </c>
      <c r="AH88">
        <v>42</v>
      </c>
      <c r="AI88" s="5">
        <f>AH88/AH92</f>
        <v>8.4000000000000005E-2</v>
      </c>
      <c r="AJ88" s="5">
        <f>42/$AJ$3</f>
        <v>8.4000000000000005E-2</v>
      </c>
      <c r="AL88">
        <v>19</v>
      </c>
      <c r="AM88" s="5">
        <f>AL88/AL92</f>
        <v>0.11242603550295859</v>
      </c>
      <c r="AN88" s="5">
        <f>19/$AN$3</f>
        <v>0.11242603550295859</v>
      </c>
      <c r="AP88">
        <v>35</v>
      </c>
      <c r="AQ88" s="5">
        <f>AP88/AP92</f>
        <v>0.11254019292604502</v>
      </c>
      <c r="AR88" s="5">
        <f>35/$AR$3</f>
        <v>0.11254019292604502</v>
      </c>
      <c r="AT88">
        <v>27</v>
      </c>
      <c r="AU88" s="5">
        <f>AT88/AT92</f>
        <v>6.9230769230769235E-2</v>
      </c>
      <c r="AV88" s="5">
        <f>27/$AV$3</f>
        <v>6.9230769230769235E-2</v>
      </c>
      <c r="AX88">
        <v>9</v>
      </c>
      <c r="AY88" s="5">
        <f>AX88/AX92</f>
        <v>6.9230769230769235E-2</v>
      </c>
      <c r="AZ88" s="5">
        <f>9/$AZ$3</f>
        <v>6.9230769230769235E-2</v>
      </c>
      <c r="BB88">
        <v>32</v>
      </c>
      <c r="BC88" s="5">
        <f>BB88/BB92</f>
        <v>7.8817733990147784E-2</v>
      </c>
      <c r="BD88" s="5">
        <f>32/$BD$3</f>
        <v>7.8817733990147784E-2</v>
      </c>
      <c r="BF88">
        <v>31</v>
      </c>
      <c r="BG88" s="5">
        <f>BF88/BF92</f>
        <v>8.3333333333333329E-2</v>
      </c>
      <c r="BH88" s="5">
        <f>31/$BH$3</f>
        <v>8.3333333333333329E-2</v>
      </c>
      <c r="BJ88">
        <v>27</v>
      </c>
      <c r="BK88" s="5">
        <f>BJ88/BJ92</f>
        <v>0.12162162162162163</v>
      </c>
      <c r="BL88" s="5">
        <f>27/$BL$3</f>
        <v>0.12162162162162163</v>
      </c>
      <c r="BN88">
        <v>31</v>
      </c>
      <c r="BO88" s="5">
        <f>BN88/BN92</f>
        <v>8.1578947368421056E-2</v>
      </c>
      <c r="BP88" s="5">
        <f>31/$BP$3</f>
        <v>8.1578947368421056E-2</v>
      </c>
      <c r="BR88">
        <v>28</v>
      </c>
      <c r="BS88" s="5">
        <f>BR88/BR92</f>
        <v>7.567567567567568E-2</v>
      </c>
      <c r="BT88" s="5">
        <f>28/$BT$3</f>
        <v>7.567567567567568E-2</v>
      </c>
      <c r="BV88">
        <v>31</v>
      </c>
      <c r="BW88" s="5">
        <f>BV88/BV92</f>
        <v>0.124</v>
      </c>
      <c r="BX88" s="5">
        <f>31/$BX$3</f>
        <v>0.124</v>
      </c>
      <c r="BZ88">
        <v>21</v>
      </c>
      <c r="CA88" s="5">
        <f>BZ88/BZ92</f>
        <v>8.4000000000000005E-2</v>
      </c>
      <c r="CB88" s="5">
        <f>21/$CB$3</f>
        <v>8.4000000000000005E-2</v>
      </c>
      <c r="CD88">
        <v>15</v>
      </c>
      <c r="CE88" s="5">
        <f>CD88/CD92</f>
        <v>7.1428571428571425E-2</v>
      </c>
      <c r="CF88" s="5">
        <f>15/$CF$3</f>
        <v>7.1428571428571425E-2</v>
      </c>
      <c r="CH88">
        <v>20</v>
      </c>
      <c r="CI88" s="5">
        <f>CH88/CH92</f>
        <v>9.0909090909090912E-2</v>
      </c>
      <c r="CJ88" s="5">
        <f>20/$CJ$3</f>
        <v>9.0909090909090912E-2</v>
      </c>
      <c r="CL88">
        <v>34</v>
      </c>
      <c r="CM88" s="5">
        <f>CL88/CL92</f>
        <v>0.10625</v>
      </c>
      <c r="CN88" s="5">
        <f>34/$CN$3</f>
        <v>0.10625</v>
      </c>
    </row>
    <row r="89" spans="1:92" x14ac:dyDescent="0.25">
      <c r="A89" s="1" t="s">
        <v>573</v>
      </c>
      <c r="B89">
        <v>351</v>
      </c>
      <c r="C89" s="5">
        <f>B89/B92</f>
        <v>0.35099999999999998</v>
      </c>
      <c r="D89" s="5">
        <f>351/$D$3</f>
        <v>0.35099999999999998</v>
      </c>
      <c r="F89">
        <v>188</v>
      </c>
      <c r="G89" s="5">
        <f>F89/F92</f>
        <v>0.39830508474576271</v>
      </c>
      <c r="H89" s="5">
        <f>188/$H$3</f>
        <v>0.39830508474576271</v>
      </c>
      <c r="J89">
        <v>112</v>
      </c>
      <c r="K89" s="5">
        <f>J89/J92</f>
        <v>0.39298245614035088</v>
      </c>
      <c r="L89" s="5">
        <f>112/$L$3</f>
        <v>0.39298245614035088</v>
      </c>
      <c r="N89">
        <v>130</v>
      </c>
      <c r="O89" s="5">
        <f>N89/N92</f>
        <v>0.56034482758620685</v>
      </c>
      <c r="P89" s="10">
        <f>130/$P$3</f>
        <v>0.56034482758620685</v>
      </c>
      <c r="R89">
        <v>125</v>
      </c>
      <c r="S89" s="5">
        <f>R89/R92</f>
        <v>0.42517006802721086</v>
      </c>
      <c r="T89" s="10">
        <f>125/$T$3</f>
        <v>0.42517006802721086</v>
      </c>
      <c r="V89">
        <v>174</v>
      </c>
      <c r="W89" s="5">
        <f>V89/V92</f>
        <v>0.41826923076923078</v>
      </c>
      <c r="X89" s="10">
        <f>174/$X$3</f>
        <v>0.41826923076923078</v>
      </c>
      <c r="Z89">
        <v>177</v>
      </c>
      <c r="AA89" s="5">
        <f>Z89/Z92</f>
        <v>0.42142857142857143</v>
      </c>
      <c r="AB89" s="10">
        <f>177/$AB$3</f>
        <v>0.42142857142857143</v>
      </c>
      <c r="AD89">
        <v>157</v>
      </c>
      <c r="AE89" s="5">
        <f>AD89/AD92</f>
        <v>0.314</v>
      </c>
      <c r="AF89" s="5">
        <f>157/$AF$3</f>
        <v>0.314</v>
      </c>
      <c r="AH89">
        <v>194</v>
      </c>
      <c r="AI89" s="5">
        <f>AH89/AH92</f>
        <v>0.38800000000000001</v>
      </c>
      <c r="AJ89" s="5">
        <f>194/$AJ$3</f>
        <v>0.38800000000000001</v>
      </c>
      <c r="AL89">
        <v>36</v>
      </c>
      <c r="AM89" s="5">
        <f>AL89/AL92</f>
        <v>0.21301775147928995</v>
      </c>
      <c r="AN89" s="11">
        <f>36/$AN$3</f>
        <v>0.21301775147928995</v>
      </c>
      <c r="AP89">
        <v>97</v>
      </c>
      <c r="AQ89" s="5">
        <f>AP89/AP92</f>
        <v>0.31189710610932475</v>
      </c>
      <c r="AR89" s="5">
        <f>97/$AR$3</f>
        <v>0.31189710610932475</v>
      </c>
      <c r="AT89">
        <v>159</v>
      </c>
      <c r="AU89" s="5">
        <f>AT89/AT92</f>
        <v>0.40769230769230769</v>
      </c>
      <c r="AV89" s="10">
        <f>159/$AV$3</f>
        <v>0.40769230769230769</v>
      </c>
      <c r="AW89" s="12"/>
      <c r="AX89">
        <v>59</v>
      </c>
      <c r="AY89" s="5">
        <f>AX89/AX92</f>
        <v>0.45384615384615384</v>
      </c>
      <c r="AZ89" s="10">
        <f>59/$AZ$3</f>
        <v>0.45384615384615384</v>
      </c>
      <c r="BA89" s="12"/>
      <c r="BB89">
        <v>142</v>
      </c>
      <c r="BC89" s="5">
        <f>BB89/BB92</f>
        <v>0.34975369458128081</v>
      </c>
      <c r="BD89" s="5">
        <f>142/$BD$3</f>
        <v>0.34975369458128081</v>
      </c>
      <c r="BF89">
        <v>124</v>
      </c>
      <c r="BG89" s="5">
        <f>BF89/BF92</f>
        <v>0.33333333333333331</v>
      </c>
      <c r="BH89" s="5">
        <f>124/$BH$3</f>
        <v>0.33333333333333331</v>
      </c>
      <c r="BJ89">
        <v>85</v>
      </c>
      <c r="BK89" s="5">
        <f>BJ89/BJ92</f>
        <v>0.38288288288288286</v>
      </c>
      <c r="BL89" s="5">
        <f>85/$BL$3</f>
        <v>0.38288288288288286</v>
      </c>
      <c r="BN89">
        <v>130</v>
      </c>
      <c r="BO89" s="5">
        <f>BN89/BN92</f>
        <v>0.34210526315789475</v>
      </c>
      <c r="BP89" s="5">
        <f>130/$BP$3</f>
        <v>0.34210526315789475</v>
      </c>
      <c r="BR89">
        <v>128</v>
      </c>
      <c r="BS89" s="5">
        <f>BR89/BR92</f>
        <v>0.34594594594594597</v>
      </c>
      <c r="BT89" s="5">
        <f>128/$BT$3</f>
        <v>0.34594594594594597</v>
      </c>
      <c r="BV89">
        <v>93</v>
      </c>
      <c r="BW89" s="5">
        <f>BV89/BV92</f>
        <v>0.372</v>
      </c>
      <c r="BX89" s="5">
        <f>93/$BX$3</f>
        <v>0.372</v>
      </c>
      <c r="BZ89">
        <v>80</v>
      </c>
      <c r="CA89" s="5">
        <f>BZ89/BZ92</f>
        <v>0.32</v>
      </c>
      <c r="CB89" s="5">
        <f>80/$CB$3</f>
        <v>0.32</v>
      </c>
      <c r="CD89">
        <v>74</v>
      </c>
      <c r="CE89" s="5">
        <f>CD89/CD92</f>
        <v>0.35238095238095241</v>
      </c>
      <c r="CF89" s="5">
        <f>74/$CF$3</f>
        <v>0.35238095238095241</v>
      </c>
      <c r="CH89">
        <v>81</v>
      </c>
      <c r="CI89" s="5">
        <f>CH89/CH92</f>
        <v>0.36818181818181817</v>
      </c>
      <c r="CJ89" s="5">
        <f>81/$CJ$3</f>
        <v>0.36818181818181817</v>
      </c>
      <c r="CL89">
        <v>116</v>
      </c>
      <c r="CM89" s="5">
        <f>CL89/CL92</f>
        <v>0.36249999999999999</v>
      </c>
      <c r="CN89" s="5">
        <f>116/$CN$3</f>
        <v>0.36249999999999999</v>
      </c>
    </row>
    <row r="90" spans="1:92" x14ac:dyDescent="0.25">
      <c r="A90" s="1" t="s">
        <v>574</v>
      </c>
      <c r="B90">
        <v>60</v>
      </c>
      <c r="C90" s="5">
        <f>B90/B92</f>
        <v>0.06</v>
      </c>
      <c r="D90" s="5">
        <f>60/$D$3</f>
        <v>0.06</v>
      </c>
      <c r="F90">
        <v>29</v>
      </c>
      <c r="G90" s="5">
        <f>F90/F92</f>
        <v>6.1440677966101698E-2</v>
      </c>
      <c r="H90" s="5">
        <f>29/$H$3</f>
        <v>6.1440677966101698E-2</v>
      </c>
      <c r="J90">
        <v>29</v>
      </c>
      <c r="K90" s="5">
        <f>J90/J92</f>
        <v>0.10175438596491228</v>
      </c>
      <c r="L90" s="5">
        <f>29/$L$3</f>
        <v>0.10175438596491228</v>
      </c>
      <c r="N90">
        <v>20</v>
      </c>
      <c r="O90" s="5">
        <f>N90/N92</f>
        <v>8.6206896551724144E-2</v>
      </c>
      <c r="P90" s="5">
        <f>20/$P$3</f>
        <v>8.6206896551724144E-2</v>
      </c>
      <c r="R90">
        <v>21</v>
      </c>
      <c r="S90" s="5">
        <f>R90/R92</f>
        <v>7.1428571428571425E-2</v>
      </c>
      <c r="T90" s="5">
        <f>21/$T$3</f>
        <v>7.1428571428571425E-2</v>
      </c>
      <c r="V90">
        <v>29</v>
      </c>
      <c r="W90" s="5">
        <f>V90/V92</f>
        <v>6.9711538461538464E-2</v>
      </c>
      <c r="X90" s="5">
        <f>29/$X$3</f>
        <v>6.9711538461538464E-2</v>
      </c>
      <c r="Z90">
        <v>25</v>
      </c>
      <c r="AA90" s="5">
        <f>Z90/Z92</f>
        <v>5.9523809523809521E-2</v>
      </c>
      <c r="AB90" s="5">
        <f>25/$AB$3</f>
        <v>5.9523809523809521E-2</v>
      </c>
      <c r="AD90">
        <v>30</v>
      </c>
      <c r="AE90" s="5">
        <f>AD90/AD92</f>
        <v>0.06</v>
      </c>
      <c r="AF90" s="5">
        <f>30/$AF$3</f>
        <v>0.06</v>
      </c>
      <c r="AH90">
        <v>30</v>
      </c>
      <c r="AI90" s="5">
        <f>AH90/AH92</f>
        <v>0.06</v>
      </c>
      <c r="AJ90" s="5">
        <f>30/$AJ$3</f>
        <v>0.06</v>
      </c>
      <c r="AL90">
        <v>15</v>
      </c>
      <c r="AM90" s="5">
        <f>AL90/AL92</f>
        <v>8.8757396449704137E-2</v>
      </c>
      <c r="AN90" s="5">
        <f>15/$AN$3</f>
        <v>8.8757396449704137E-2</v>
      </c>
      <c r="AP90">
        <v>13</v>
      </c>
      <c r="AQ90" s="5">
        <f>AP90/AP92</f>
        <v>4.1800643086816719E-2</v>
      </c>
      <c r="AR90" s="5">
        <f>13/$AR$3</f>
        <v>4.1800643086816719E-2</v>
      </c>
      <c r="AT90">
        <v>27</v>
      </c>
      <c r="AU90" s="5">
        <f>AT90/AT92</f>
        <v>6.9230769230769235E-2</v>
      </c>
      <c r="AV90" s="5">
        <f>27/$AV$3</f>
        <v>6.9230769230769235E-2</v>
      </c>
      <c r="AX90">
        <v>5</v>
      </c>
      <c r="AY90" s="5">
        <f>AX90/AX92</f>
        <v>3.8461538461538464E-2</v>
      </c>
      <c r="AZ90" s="5">
        <f>5/$AZ$3</f>
        <v>3.8461538461538464E-2</v>
      </c>
      <c r="BB90">
        <v>29</v>
      </c>
      <c r="BC90" s="5">
        <f>BB90/BB92</f>
        <v>7.1428571428571425E-2</v>
      </c>
      <c r="BD90" s="5">
        <f>29/$BD$3</f>
        <v>7.1428571428571425E-2</v>
      </c>
      <c r="BF90">
        <v>21</v>
      </c>
      <c r="BG90" s="5">
        <f>BF90/BF92</f>
        <v>5.6451612903225805E-2</v>
      </c>
      <c r="BH90" s="5">
        <f>21/$BH$3</f>
        <v>5.6451612903225805E-2</v>
      </c>
      <c r="BJ90">
        <v>10</v>
      </c>
      <c r="BK90" s="5">
        <f>BJ90/BJ92</f>
        <v>4.5045045045045043E-2</v>
      </c>
      <c r="BL90" s="5">
        <f>10/$BL$3</f>
        <v>4.5045045045045043E-2</v>
      </c>
      <c r="BN90">
        <v>30</v>
      </c>
      <c r="BO90" s="5">
        <f>BN90/BN92</f>
        <v>7.8947368421052627E-2</v>
      </c>
      <c r="BP90" s="5">
        <f>30/$BP$3</f>
        <v>7.8947368421052627E-2</v>
      </c>
      <c r="BR90">
        <v>15</v>
      </c>
      <c r="BS90" s="5">
        <f>BR90/BR92</f>
        <v>4.0540540540540543E-2</v>
      </c>
      <c r="BT90" s="5">
        <f>15/$BT$3</f>
        <v>4.0540540540540543E-2</v>
      </c>
      <c r="BV90">
        <v>15</v>
      </c>
      <c r="BW90" s="5">
        <f>BV90/BV92</f>
        <v>0.06</v>
      </c>
      <c r="BX90" s="5">
        <f>15/$BX$3</f>
        <v>0.06</v>
      </c>
      <c r="BZ90">
        <v>17</v>
      </c>
      <c r="CA90" s="5">
        <f>BZ90/BZ92</f>
        <v>6.8000000000000005E-2</v>
      </c>
      <c r="CB90" s="5">
        <f>17/$CB$3</f>
        <v>6.8000000000000005E-2</v>
      </c>
      <c r="CD90">
        <v>13</v>
      </c>
      <c r="CE90" s="5">
        <f>CD90/CD92</f>
        <v>6.1904761904761907E-2</v>
      </c>
      <c r="CF90" s="5">
        <f>13/$CF$3</f>
        <v>6.1904761904761907E-2</v>
      </c>
      <c r="CH90">
        <v>16</v>
      </c>
      <c r="CI90" s="5">
        <f>CH90/CH92</f>
        <v>7.2727272727272724E-2</v>
      </c>
      <c r="CJ90" s="5">
        <f>16/$CJ$3</f>
        <v>7.2727272727272724E-2</v>
      </c>
      <c r="CL90">
        <v>14</v>
      </c>
      <c r="CM90" s="5">
        <f>CL90/CL92</f>
        <v>4.3749999999999997E-2</v>
      </c>
      <c r="CN90" s="5">
        <f>14/$CN$3</f>
        <v>4.3749999999999997E-2</v>
      </c>
    </row>
    <row r="91" spans="1:92" x14ac:dyDescent="0.25">
      <c r="A91" s="1" t="s">
        <v>12</v>
      </c>
      <c r="B91">
        <v>479</v>
      </c>
      <c r="C91" s="5">
        <f>B91/B92</f>
        <v>0.47899999999999998</v>
      </c>
      <c r="D91" s="5">
        <f>479/$D$3</f>
        <v>0.47899999999999998</v>
      </c>
      <c r="F91">
        <v>207</v>
      </c>
      <c r="G91" s="5">
        <f>F91/F92</f>
        <v>0.4385593220338983</v>
      </c>
      <c r="H91" s="5">
        <f>207/$H$3</f>
        <v>0.4385593220338983</v>
      </c>
      <c r="J91">
        <v>115</v>
      </c>
      <c r="K91" s="5">
        <f>J91/J92</f>
        <v>0.40350877192982454</v>
      </c>
      <c r="L91" s="11">
        <f>115/$L$3</f>
        <v>0.40350877192982454</v>
      </c>
      <c r="N91">
        <v>60</v>
      </c>
      <c r="O91" s="5">
        <f>N91/N92</f>
        <v>0.25862068965517243</v>
      </c>
      <c r="P91" s="11">
        <f>60/$P$3</f>
        <v>0.25862068965517243</v>
      </c>
      <c r="R91">
        <v>122</v>
      </c>
      <c r="S91" s="5">
        <f>R91/R92</f>
        <v>0.41496598639455784</v>
      </c>
      <c r="T91" s="11">
        <f>122/$T$3</f>
        <v>0.41496598639455784</v>
      </c>
      <c r="V91">
        <v>177</v>
      </c>
      <c r="W91" s="5">
        <f>V91/V92</f>
        <v>0.42548076923076922</v>
      </c>
      <c r="X91" s="11">
        <f>177/$X$3</f>
        <v>0.42548076923076922</v>
      </c>
      <c r="Z91">
        <v>174</v>
      </c>
      <c r="AA91" s="5">
        <f>Z91/Z92</f>
        <v>0.41428571428571431</v>
      </c>
      <c r="AB91" s="11">
        <f>174/$AB$3</f>
        <v>0.41428571428571431</v>
      </c>
      <c r="AD91">
        <v>250</v>
      </c>
      <c r="AE91" s="5">
        <f>AD91/AD92</f>
        <v>0.5</v>
      </c>
      <c r="AF91" s="5">
        <f>250/$AF$3</f>
        <v>0.5</v>
      </c>
      <c r="AH91">
        <v>229</v>
      </c>
      <c r="AI91" s="5">
        <f>AH91/AH92</f>
        <v>0.45800000000000002</v>
      </c>
      <c r="AJ91" s="5">
        <f>229/$AJ$3</f>
        <v>0.45800000000000002</v>
      </c>
      <c r="AL91">
        <v>92</v>
      </c>
      <c r="AM91" s="5">
        <f>AL91/AL92</f>
        <v>0.54437869822485208</v>
      </c>
      <c r="AN91" s="5">
        <f>92/$AN$3</f>
        <v>0.54437869822485208</v>
      </c>
      <c r="AP91">
        <v>163</v>
      </c>
      <c r="AQ91" s="5">
        <f>AP91/AP92</f>
        <v>0.52411575562700963</v>
      </c>
      <c r="AR91" s="5">
        <f>163/$AR$3</f>
        <v>0.52411575562700963</v>
      </c>
      <c r="AT91">
        <v>171</v>
      </c>
      <c r="AU91" s="5">
        <f>AT91/AT92</f>
        <v>0.43846153846153846</v>
      </c>
      <c r="AV91" s="5">
        <f>171/$AV$3</f>
        <v>0.43846153846153846</v>
      </c>
      <c r="AX91">
        <v>53</v>
      </c>
      <c r="AY91" s="5">
        <f>AX91/AX92</f>
        <v>0.40769230769230769</v>
      </c>
      <c r="AZ91" s="5">
        <f>53/$AZ$3</f>
        <v>0.40769230769230769</v>
      </c>
      <c r="BB91">
        <v>192</v>
      </c>
      <c r="BC91" s="5">
        <f>BB91/BB92</f>
        <v>0.47290640394088668</v>
      </c>
      <c r="BD91" s="5">
        <f>192/$BD$3</f>
        <v>0.47290640394088668</v>
      </c>
      <c r="BF91">
        <v>185</v>
      </c>
      <c r="BG91" s="5">
        <f>BF91/BF92</f>
        <v>0.49731182795698925</v>
      </c>
      <c r="BH91" s="5">
        <f>185/$BH$3</f>
        <v>0.49731182795698925</v>
      </c>
      <c r="BJ91">
        <v>102</v>
      </c>
      <c r="BK91" s="5">
        <f>BJ91/BJ92</f>
        <v>0.45945945945945948</v>
      </c>
      <c r="BL91" s="5">
        <f>102/$BL$3</f>
        <v>0.45945945945945948</v>
      </c>
      <c r="BN91">
        <v>183</v>
      </c>
      <c r="BO91" s="5">
        <f>BN91/BN92</f>
        <v>0.48157894736842105</v>
      </c>
      <c r="BP91" s="5">
        <f>183/$BP$3</f>
        <v>0.48157894736842105</v>
      </c>
      <c r="BR91">
        <v>176</v>
      </c>
      <c r="BS91" s="5">
        <f>BR91/BR92</f>
        <v>0.4756756756756757</v>
      </c>
      <c r="BT91" s="5">
        <f>176/$BT$3</f>
        <v>0.4756756756756757</v>
      </c>
      <c r="BV91">
        <v>120</v>
      </c>
      <c r="BW91" s="5">
        <f>BV91/BV92</f>
        <v>0.48</v>
      </c>
      <c r="BX91" s="5">
        <f>120/$BX$3</f>
        <v>0.48</v>
      </c>
      <c r="BZ91">
        <v>123</v>
      </c>
      <c r="CA91" s="5">
        <f>BZ91/BZ92</f>
        <v>0.49199999999999999</v>
      </c>
      <c r="CB91" s="5">
        <f>123/$CB$3</f>
        <v>0.49199999999999999</v>
      </c>
      <c r="CD91">
        <v>105</v>
      </c>
      <c r="CE91" s="5">
        <f>CD91/CD92</f>
        <v>0.5</v>
      </c>
      <c r="CF91" s="5">
        <f>105/$CF$3</f>
        <v>0.5</v>
      </c>
      <c r="CH91">
        <v>99</v>
      </c>
      <c r="CI91" s="5">
        <f>CH91/CH92</f>
        <v>0.45</v>
      </c>
      <c r="CJ91" s="5">
        <f>99/$CJ$3</f>
        <v>0.45</v>
      </c>
      <c r="CL91">
        <v>152</v>
      </c>
      <c r="CM91" s="5">
        <f>CL91/CL92</f>
        <v>0.47499999999999998</v>
      </c>
      <c r="CN91" s="5">
        <f>152/$CN$3</f>
        <v>0.47499999999999998</v>
      </c>
    </row>
    <row r="92" spans="1:92" s="6" customFormat="1" x14ac:dyDescent="0.25">
      <c r="A92" s="7" t="s">
        <v>13</v>
      </c>
      <c r="B92" s="6">
        <v>1000</v>
      </c>
      <c r="F92" s="6">
        <v>472</v>
      </c>
      <c r="J92" s="6">
        <v>285</v>
      </c>
      <c r="N92" s="6">
        <v>232</v>
      </c>
      <c r="R92" s="6">
        <v>294</v>
      </c>
      <c r="V92" s="6">
        <v>416</v>
      </c>
      <c r="Z92" s="6">
        <v>420</v>
      </c>
      <c r="AD92" s="6">
        <v>500</v>
      </c>
      <c r="AH92" s="6">
        <v>500</v>
      </c>
      <c r="AL92" s="6">
        <v>169</v>
      </c>
      <c r="AP92" s="6">
        <v>311</v>
      </c>
      <c r="AT92" s="6">
        <v>390</v>
      </c>
      <c r="AX92" s="6">
        <v>130</v>
      </c>
      <c r="BB92" s="6">
        <v>406</v>
      </c>
      <c r="BF92" s="6">
        <v>372</v>
      </c>
      <c r="BJ92" s="6">
        <v>222</v>
      </c>
      <c r="BN92" s="6">
        <v>380</v>
      </c>
      <c r="BR92" s="6">
        <v>370</v>
      </c>
      <c r="BV92" s="6">
        <v>250</v>
      </c>
      <c r="BZ92" s="6">
        <v>250</v>
      </c>
      <c r="CD92" s="6">
        <v>210</v>
      </c>
      <c r="CH92" s="6">
        <v>220</v>
      </c>
      <c r="CL92" s="6">
        <v>320</v>
      </c>
    </row>
    <row r="93" spans="1:92" hidden="1" x14ac:dyDescent="0.25">
      <c r="A93" s="8" t="s">
        <v>14</v>
      </c>
      <c r="B93">
        <v>0</v>
      </c>
      <c r="F93">
        <v>0</v>
      </c>
      <c r="J93">
        <v>0</v>
      </c>
      <c r="N93">
        <v>0</v>
      </c>
      <c r="R93">
        <v>0</v>
      </c>
      <c r="V93">
        <v>0</v>
      </c>
      <c r="Z93">
        <v>0</v>
      </c>
      <c r="AD93">
        <v>0</v>
      </c>
      <c r="AH93">
        <v>0</v>
      </c>
      <c r="AL93">
        <v>0</v>
      </c>
      <c r="AP93">
        <v>0</v>
      </c>
      <c r="AT93">
        <v>0</v>
      </c>
      <c r="AX93">
        <v>0</v>
      </c>
      <c r="BB93">
        <v>0</v>
      </c>
      <c r="BF93">
        <v>0</v>
      </c>
      <c r="BJ93">
        <v>0</v>
      </c>
      <c r="BN93">
        <v>0</v>
      </c>
      <c r="BR93">
        <v>0</v>
      </c>
      <c r="BV93">
        <v>0</v>
      </c>
      <c r="BZ93">
        <v>0</v>
      </c>
      <c r="CD93">
        <v>0</v>
      </c>
      <c r="CH93">
        <v>0</v>
      </c>
      <c r="CL93">
        <v>0</v>
      </c>
    </row>
    <row r="94" spans="1:92" hidden="1" x14ac:dyDescent="0.25">
      <c r="A94" s="8" t="s">
        <v>15</v>
      </c>
      <c r="B94">
        <v>0</v>
      </c>
      <c r="F94">
        <v>0</v>
      </c>
      <c r="J94">
        <v>0</v>
      </c>
      <c r="N94">
        <v>0</v>
      </c>
      <c r="R94">
        <v>0</v>
      </c>
      <c r="V94">
        <v>0</v>
      </c>
      <c r="Z94">
        <v>0</v>
      </c>
      <c r="AD94">
        <v>0</v>
      </c>
      <c r="AH94">
        <v>0</v>
      </c>
      <c r="AL94">
        <v>0</v>
      </c>
      <c r="AP94">
        <v>0</v>
      </c>
      <c r="AT94">
        <v>0</v>
      </c>
      <c r="AX94">
        <v>0</v>
      </c>
      <c r="BB94">
        <v>0</v>
      </c>
      <c r="BF94">
        <v>0</v>
      </c>
      <c r="BJ94">
        <v>0</v>
      </c>
      <c r="BN94">
        <v>0</v>
      </c>
      <c r="BR94">
        <v>0</v>
      </c>
      <c r="BV94">
        <v>0</v>
      </c>
      <c r="BZ94">
        <v>0</v>
      </c>
      <c r="CD94">
        <v>0</v>
      </c>
      <c r="CH94">
        <v>0</v>
      </c>
      <c r="CL94">
        <v>0</v>
      </c>
    </row>
    <row r="96" spans="1:92" x14ac:dyDescent="0.25">
      <c r="AN96" s="2" t="s">
        <v>5</v>
      </c>
      <c r="AR96" s="2" t="s">
        <v>6</v>
      </c>
      <c r="AV96" s="2" t="s">
        <v>7</v>
      </c>
      <c r="AZ96" s="2" t="s">
        <v>8</v>
      </c>
      <c r="BD96" s="2" t="s">
        <v>5</v>
      </c>
      <c r="BH96" s="2" t="s">
        <v>6</v>
      </c>
      <c r="BL96" s="2" t="s">
        <v>7</v>
      </c>
      <c r="BP96" s="2" t="s">
        <v>5</v>
      </c>
      <c r="BT96" s="2" t="s">
        <v>6</v>
      </c>
      <c r="BX96" s="2" t="s">
        <v>7</v>
      </c>
      <c r="CB96" s="2" t="s">
        <v>5</v>
      </c>
      <c r="CF96" s="2" t="s">
        <v>6</v>
      </c>
      <c r="CJ96" s="2" t="s">
        <v>7</v>
      </c>
      <c r="CN96" s="2" t="s">
        <v>8</v>
      </c>
    </row>
    <row r="97" spans="1:92" s="3" customFormat="1" x14ac:dyDescent="0.25">
      <c r="A97" s="3" t="s">
        <v>1006</v>
      </c>
      <c r="D97" s="4" t="s">
        <v>10</v>
      </c>
      <c r="H97" s="4" t="s">
        <v>10</v>
      </c>
      <c r="L97" s="4" t="s">
        <v>10</v>
      </c>
      <c r="P97" s="4" t="s">
        <v>10</v>
      </c>
      <c r="T97" s="4" t="s">
        <v>10</v>
      </c>
      <c r="X97" s="4" t="s">
        <v>10</v>
      </c>
      <c r="AB97" s="4" t="s">
        <v>10</v>
      </c>
      <c r="AF97" s="4" t="s">
        <v>10</v>
      </c>
      <c r="AJ97" s="4" t="s">
        <v>10</v>
      </c>
      <c r="AN97" s="4" t="s">
        <v>10</v>
      </c>
      <c r="AR97" s="4" t="s">
        <v>10</v>
      </c>
      <c r="AV97" s="4" t="s">
        <v>10</v>
      </c>
      <c r="AZ97" s="4" t="s">
        <v>10</v>
      </c>
      <c r="BD97" s="4" t="s">
        <v>10</v>
      </c>
      <c r="BH97" s="4" t="s">
        <v>10</v>
      </c>
      <c r="BL97" s="4" t="s">
        <v>10</v>
      </c>
      <c r="BP97" s="4" t="s">
        <v>10</v>
      </c>
      <c r="BT97" s="4" t="s">
        <v>10</v>
      </c>
      <c r="BX97" s="4" t="s">
        <v>10</v>
      </c>
      <c r="CB97" s="4" t="s">
        <v>10</v>
      </c>
      <c r="CF97" s="4" t="s">
        <v>10</v>
      </c>
      <c r="CJ97" s="4" t="s">
        <v>10</v>
      </c>
      <c r="CN97" s="4" t="s">
        <v>10</v>
      </c>
    </row>
    <row r="98" spans="1:92" x14ac:dyDescent="0.25">
      <c r="A98" s="1" t="s">
        <v>576</v>
      </c>
      <c r="B98">
        <v>395</v>
      </c>
      <c r="C98" s="5">
        <f>B98/B101</f>
        <v>0.39500000000000002</v>
      </c>
      <c r="D98" s="5">
        <f>395/$D$3</f>
        <v>0.39500000000000002</v>
      </c>
      <c r="F98">
        <v>232</v>
      </c>
      <c r="G98" s="5">
        <f>F98/F101</f>
        <v>0.49152542372881358</v>
      </c>
      <c r="H98" s="10">
        <f>232/$H$3</f>
        <v>0.49152542372881358</v>
      </c>
      <c r="J98">
        <v>144</v>
      </c>
      <c r="K98" s="5">
        <f>J98/J101</f>
        <v>0.50526315789473686</v>
      </c>
      <c r="L98" s="10">
        <f>144/$L$3</f>
        <v>0.50526315789473686</v>
      </c>
      <c r="N98">
        <v>232</v>
      </c>
      <c r="O98" s="5">
        <f>N98/N101</f>
        <v>1</v>
      </c>
      <c r="P98" s="10">
        <f>232/$P$3</f>
        <v>1</v>
      </c>
      <c r="R98">
        <v>168</v>
      </c>
      <c r="S98" s="5">
        <f>R98/R101</f>
        <v>0.5714285714285714</v>
      </c>
      <c r="T98" s="10">
        <f>168/$T$3</f>
        <v>0.5714285714285714</v>
      </c>
      <c r="V98">
        <v>216</v>
      </c>
      <c r="W98" s="5">
        <f>V98/V101</f>
        <v>0.51923076923076927</v>
      </c>
      <c r="X98" s="10">
        <f>216/$X$3</f>
        <v>0.51923076923076927</v>
      </c>
      <c r="Z98">
        <v>222</v>
      </c>
      <c r="AA98" s="5">
        <f>Z98/Z101</f>
        <v>0.52857142857142858</v>
      </c>
      <c r="AB98" s="10">
        <f>222/$AB$3</f>
        <v>0.52857142857142858</v>
      </c>
      <c r="AD98">
        <v>209</v>
      </c>
      <c r="AE98" s="5">
        <f>AD98/AD101</f>
        <v>0.41799999999999998</v>
      </c>
      <c r="AF98" s="5">
        <f>209/$AF$3</f>
        <v>0.41799999999999998</v>
      </c>
      <c r="AH98">
        <v>186</v>
      </c>
      <c r="AI98" s="5">
        <f>AH98/AH101</f>
        <v>0.372</v>
      </c>
      <c r="AJ98" s="5">
        <f>186/$AJ$3</f>
        <v>0.372</v>
      </c>
      <c r="AL98">
        <v>43</v>
      </c>
      <c r="AM98" s="5">
        <f>AL98/AL101</f>
        <v>0.25443786982248523</v>
      </c>
      <c r="AN98" s="11">
        <f>43/$AN$3</f>
        <v>0.25443786982248523</v>
      </c>
      <c r="AP98">
        <v>111</v>
      </c>
      <c r="AQ98" s="5">
        <f>AP98/AP101</f>
        <v>0.35691318327974275</v>
      </c>
      <c r="AR98" s="5">
        <f>111/$AR$3</f>
        <v>0.35691318327974275</v>
      </c>
      <c r="AT98">
        <v>183</v>
      </c>
      <c r="AU98" s="5">
        <f>AT98/AT101</f>
        <v>0.46923076923076923</v>
      </c>
      <c r="AV98" s="10">
        <f>183/$AV$3</f>
        <v>0.46923076923076923</v>
      </c>
      <c r="AW98" s="12"/>
      <c r="AX98">
        <v>58</v>
      </c>
      <c r="AY98" s="5">
        <f>AX98/AX101</f>
        <v>0.44615384615384618</v>
      </c>
      <c r="AZ98" s="5">
        <f>58/$AZ$3</f>
        <v>0.44615384615384618</v>
      </c>
      <c r="BA98" s="12"/>
      <c r="BB98">
        <v>146</v>
      </c>
      <c r="BC98" s="5">
        <f>BB98/BB101</f>
        <v>0.35960591133004927</v>
      </c>
      <c r="BD98" s="5">
        <f>146/$BD$3</f>
        <v>0.35960591133004927</v>
      </c>
      <c r="BF98">
        <v>147</v>
      </c>
      <c r="BG98" s="5">
        <f>BF98/BF101</f>
        <v>0.39516129032258063</v>
      </c>
      <c r="BH98" s="5">
        <f>147/$BH$3</f>
        <v>0.39516129032258063</v>
      </c>
      <c r="BJ98">
        <v>102</v>
      </c>
      <c r="BK98" s="5">
        <f>BJ98/BJ101</f>
        <v>0.45945945945945948</v>
      </c>
      <c r="BL98" s="10">
        <f>102/$BL$3</f>
        <v>0.45945945945945948</v>
      </c>
      <c r="BN98">
        <v>134</v>
      </c>
      <c r="BO98" s="5">
        <f>BN98/BN101</f>
        <v>0.35263157894736841</v>
      </c>
      <c r="BP98" s="5">
        <f>134/$BP$3</f>
        <v>0.35263157894736841</v>
      </c>
      <c r="BR98">
        <v>153</v>
      </c>
      <c r="BS98" s="5">
        <f>BR98/BR101</f>
        <v>0.41351351351351351</v>
      </c>
      <c r="BT98" s="5">
        <f>153/$BT$3</f>
        <v>0.41351351351351351</v>
      </c>
      <c r="BV98">
        <v>108</v>
      </c>
      <c r="BW98" s="5">
        <f>BV98/BV101</f>
        <v>0.432</v>
      </c>
      <c r="BX98" s="5">
        <f>108/$BX$3</f>
        <v>0.432</v>
      </c>
      <c r="BZ98">
        <v>105</v>
      </c>
      <c r="CA98" s="5">
        <f>BZ98/BZ101</f>
        <v>0.42</v>
      </c>
      <c r="CB98" s="5">
        <f>105/$CB$3</f>
        <v>0.42</v>
      </c>
      <c r="CD98">
        <v>83</v>
      </c>
      <c r="CE98" s="5">
        <f>CD98/CD101</f>
        <v>0.39523809523809522</v>
      </c>
      <c r="CF98" s="5">
        <f>83/$CF$3</f>
        <v>0.39523809523809522</v>
      </c>
      <c r="CH98">
        <v>81</v>
      </c>
      <c r="CI98" s="5">
        <f>CH98/CH101</f>
        <v>0.36818181818181817</v>
      </c>
      <c r="CJ98" s="5">
        <f>81/$CJ$3</f>
        <v>0.36818181818181817</v>
      </c>
      <c r="CL98">
        <v>126</v>
      </c>
      <c r="CM98" s="5">
        <f>CL98/CL101</f>
        <v>0.39374999999999999</v>
      </c>
      <c r="CN98" s="5">
        <f>126/$CN$3</f>
        <v>0.39374999999999999</v>
      </c>
    </row>
    <row r="99" spans="1:92" x14ac:dyDescent="0.25">
      <c r="A99" s="1" t="s">
        <v>577</v>
      </c>
      <c r="B99">
        <v>605</v>
      </c>
      <c r="C99" s="5">
        <f>B99/B101</f>
        <v>0.60499999999999998</v>
      </c>
      <c r="D99" s="5">
        <f>605/$D$3</f>
        <v>0.60499999999999998</v>
      </c>
      <c r="F99">
        <v>240</v>
      </c>
      <c r="G99" s="5">
        <f>F99/F101</f>
        <v>0.50847457627118642</v>
      </c>
      <c r="H99" s="11">
        <f>240/$H$3</f>
        <v>0.50847457627118642</v>
      </c>
      <c r="J99">
        <v>141</v>
      </c>
      <c r="K99" s="5">
        <f>J99/J101</f>
        <v>0.49473684210526314</v>
      </c>
      <c r="L99" s="11">
        <f>141/$L$3</f>
        <v>0.49473684210526314</v>
      </c>
      <c r="N99">
        <v>0</v>
      </c>
      <c r="O99" s="5">
        <f>N99/N101</f>
        <v>0</v>
      </c>
      <c r="P99" s="11">
        <f>0/$P$3</f>
        <v>0</v>
      </c>
      <c r="R99">
        <v>126</v>
      </c>
      <c r="S99" s="5">
        <f>R99/R101</f>
        <v>0.42857142857142855</v>
      </c>
      <c r="T99" s="11">
        <f>126/$T$3</f>
        <v>0.42857142857142855</v>
      </c>
      <c r="V99">
        <v>200</v>
      </c>
      <c r="W99" s="5">
        <f>V99/V101</f>
        <v>0.48076923076923078</v>
      </c>
      <c r="X99" s="11">
        <f>200/$X$3</f>
        <v>0.48076923076923078</v>
      </c>
      <c r="Z99">
        <v>198</v>
      </c>
      <c r="AA99" s="5">
        <f>Z99/Z101</f>
        <v>0.47142857142857142</v>
      </c>
      <c r="AB99" s="11">
        <f>198/$AB$3</f>
        <v>0.47142857142857142</v>
      </c>
      <c r="AD99">
        <v>291</v>
      </c>
      <c r="AE99" s="5">
        <f>AD99/AD101</f>
        <v>0.58199999999999996</v>
      </c>
      <c r="AF99" s="5">
        <f>291/$AF$3</f>
        <v>0.58199999999999996</v>
      </c>
      <c r="AH99">
        <v>314</v>
      </c>
      <c r="AI99" s="5">
        <f>AH99/AH101</f>
        <v>0.628</v>
      </c>
      <c r="AJ99" s="5">
        <f>314/$AJ$3</f>
        <v>0.628</v>
      </c>
      <c r="AL99">
        <v>126</v>
      </c>
      <c r="AM99" s="5">
        <f>AL99/AL101</f>
        <v>0.74556213017751483</v>
      </c>
      <c r="AN99" s="10">
        <f>126/$AN$3</f>
        <v>0.74556213017751483</v>
      </c>
      <c r="AO99" s="12"/>
      <c r="AP99">
        <v>200</v>
      </c>
      <c r="AQ99" s="5">
        <f>AP99/AP101</f>
        <v>0.64308681672025725</v>
      </c>
      <c r="AR99" s="5">
        <f>200/$AR$3</f>
        <v>0.64308681672025725</v>
      </c>
      <c r="AS99" s="12"/>
      <c r="AT99">
        <v>207</v>
      </c>
      <c r="AU99" s="5">
        <f>AT99/AT101</f>
        <v>0.53076923076923077</v>
      </c>
      <c r="AV99" s="11">
        <f>207/$AV$3</f>
        <v>0.53076923076923077</v>
      </c>
      <c r="AX99">
        <v>72</v>
      </c>
      <c r="AY99" s="5">
        <f>AX99/AX101</f>
        <v>0.55384615384615388</v>
      </c>
      <c r="AZ99" s="5">
        <f>72/$AZ$3</f>
        <v>0.55384615384615388</v>
      </c>
      <c r="BB99">
        <v>260</v>
      </c>
      <c r="BC99" s="5">
        <f>BB99/BB101</f>
        <v>0.64039408866995073</v>
      </c>
      <c r="BD99" s="5">
        <f>260/$BD$3</f>
        <v>0.64039408866995073</v>
      </c>
      <c r="BF99">
        <v>225</v>
      </c>
      <c r="BG99" s="5">
        <f>BF99/BF101</f>
        <v>0.60483870967741937</v>
      </c>
      <c r="BH99" s="5">
        <f>225/$BH$3</f>
        <v>0.60483870967741937</v>
      </c>
      <c r="BJ99">
        <v>120</v>
      </c>
      <c r="BK99" s="5">
        <f>BJ99/BJ101</f>
        <v>0.54054054054054057</v>
      </c>
      <c r="BL99" s="11">
        <f>120/$BL$3</f>
        <v>0.54054054054054057</v>
      </c>
      <c r="BN99">
        <v>246</v>
      </c>
      <c r="BO99" s="5">
        <f>BN99/BN101</f>
        <v>0.64736842105263159</v>
      </c>
      <c r="BP99" s="5">
        <f>246/$BP$3</f>
        <v>0.64736842105263159</v>
      </c>
      <c r="BR99">
        <v>217</v>
      </c>
      <c r="BS99" s="5">
        <f>BR99/BR101</f>
        <v>0.58648648648648649</v>
      </c>
      <c r="BT99" s="5">
        <f>217/$BT$3</f>
        <v>0.58648648648648649</v>
      </c>
      <c r="BV99">
        <v>142</v>
      </c>
      <c r="BW99" s="5">
        <f>BV99/BV101</f>
        <v>0.56799999999999995</v>
      </c>
      <c r="BX99" s="5">
        <f>142/$BX$3</f>
        <v>0.56799999999999995</v>
      </c>
      <c r="BZ99">
        <v>145</v>
      </c>
      <c r="CA99" s="5">
        <f>BZ99/BZ101</f>
        <v>0.57999999999999996</v>
      </c>
      <c r="CB99" s="5">
        <f>145/$CB$3</f>
        <v>0.57999999999999996</v>
      </c>
      <c r="CD99">
        <v>127</v>
      </c>
      <c r="CE99" s="5">
        <f>CD99/CD101</f>
        <v>0.60476190476190472</v>
      </c>
      <c r="CF99" s="5">
        <f>127/$CF$3</f>
        <v>0.60476190476190472</v>
      </c>
      <c r="CH99">
        <v>139</v>
      </c>
      <c r="CI99" s="5">
        <f>CH99/CH101</f>
        <v>0.63181818181818183</v>
      </c>
      <c r="CJ99" s="5">
        <f>139/$CJ$3</f>
        <v>0.63181818181818183</v>
      </c>
      <c r="CL99">
        <v>194</v>
      </c>
      <c r="CM99" s="5">
        <f>CL99/CL101</f>
        <v>0.60624999999999996</v>
      </c>
      <c r="CN99" s="5">
        <f>194/$CN$3</f>
        <v>0.60624999999999996</v>
      </c>
    </row>
    <row r="100" spans="1:92" x14ac:dyDescent="0.25">
      <c r="A100" s="1" t="s">
        <v>12</v>
      </c>
      <c r="B100">
        <v>0</v>
      </c>
      <c r="C100" s="5">
        <f>B100/B101</f>
        <v>0</v>
      </c>
      <c r="D100" s="5">
        <f>0/$D$3</f>
        <v>0</v>
      </c>
      <c r="F100">
        <v>0</v>
      </c>
      <c r="G100" s="5">
        <f>F100/F101</f>
        <v>0</v>
      </c>
      <c r="H100" s="5">
        <f>0/$H$3</f>
        <v>0</v>
      </c>
      <c r="J100">
        <v>0</v>
      </c>
      <c r="K100" s="5">
        <f>J100/J101</f>
        <v>0</v>
      </c>
      <c r="L100" s="5">
        <f>0/$L$3</f>
        <v>0</v>
      </c>
      <c r="N100">
        <v>0</v>
      </c>
      <c r="O100" s="5">
        <f>N100/N101</f>
        <v>0</v>
      </c>
      <c r="P100" s="5">
        <f>0/$P$3</f>
        <v>0</v>
      </c>
      <c r="R100">
        <v>0</v>
      </c>
      <c r="S100" s="5">
        <f>R100/R101</f>
        <v>0</v>
      </c>
      <c r="T100" s="5">
        <f>0/$T$3</f>
        <v>0</v>
      </c>
      <c r="V100">
        <v>0</v>
      </c>
      <c r="W100" s="5">
        <f>V100/V101</f>
        <v>0</v>
      </c>
      <c r="X100" s="5">
        <f>0/$X$3</f>
        <v>0</v>
      </c>
      <c r="Z100">
        <v>0</v>
      </c>
      <c r="AA100" s="5">
        <f>Z100/Z101</f>
        <v>0</v>
      </c>
      <c r="AB100" s="5">
        <f>0/$AB$3</f>
        <v>0</v>
      </c>
      <c r="AD100">
        <v>0</v>
      </c>
      <c r="AE100" s="5">
        <f>AD100/AD101</f>
        <v>0</v>
      </c>
      <c r="AF100" s="5">
        <f>0/$AF$3</f>
        <v>0</v>
      </c>
      <c r="AH100">
        <v>0</v>
      </c>
      <c r="AI100" s="5">
        <f>AH100/AH101</f>
        <v>0</v>
      </c>
      <c r="AJ100" s="5">
        <f>0/$AJ$3</f>
        <v>0</v>
      </c>
      <c r="AL100">
        <v>0</v>
      </c>
      <c r="AM100" s="5">
        <f>AL100/AL101</f>
        <v>0</v>
      </c>
      <c r="AN100" s="5">
        <f>0/$AN$3</f>
        <v>0</v>
      </c>
      <c r="AP100">
        <v>0</v>
      </c>
      <c r="AQ100" s="5">
        <f>AP100/AP101</f>
        <v>0</v>
      </c>
      <c r="AR100" s="5">
        <f>0/$AR$3</f>
        <v>0</v>
      </c>
      <c r="AT100">
        <v>0</v>
      </c>
      <c r="AU100" s="5">
        <f>AT100/AT101</f>
        <v>0</v>
      </c>
      <c r="AV100" s="5">
        <f>0/$AV$3</f>
        <v>0</v>
      </c>
      <c r="AX100">
        <v>0</v>
      </c>
      <c r="AY100" s="5">
        <f>AX100/AX101</f>
        <v>0</v>
      </c>
      <c r="AZ100" s="5">
        <f>0/$AZ$3</f>
        <v>0</v>
      </c>
      <c r="BB100">
        <v>0</v>
      </c>
      <c r="BC100" s="5">
        <f>BB100/BB101</f>
        <v>0</v>
      </c>
      <c r="BD100" s="5">
        <f>0/$BD$3</f>
        <v>0</v>
      </c>
      <c r="BF100">
        <v>0</v>
      </c>
      <c r="BG100" s="5">
        <f>BF100/BF101</f>
        <v>0</v>
      </c>
      <c r="BH100" s="5">
        <f>0/$BH$3</f>
        <v>0</v>
      </c>
      <c r="BJ100">
        <v>0</v>
      </c>
      <c r="BK100" s="5">
        <f>BJ100/BJ101</f>
        <v>0</v>
      </c>
      <c r="BL100" s="5">
        <f>0/$BL$3</f>
        <v>0</v>
      </c>
      <c r="BN100">
        <v>0</v>
      </c>
      <c r="BO100" s="5">
        <f>BN100/BN101</f>
        <v>0</v>
      </c>
      <c r="BP100" s="5">
        <f>0/$BP$3</f>
        <v>0</v>
      </c>
      <c r="BR100">
        <v>0</v>
      </c>
      <c r="BS100" s="5">
        <f>BR100/BR101</f>
        <v>0</v>
      </c>
      <c r="BT100" s="5">
        <f>0/$BT$3</f>
        <v>0</v>
      </c>
      <c r="BV100">
        <v>0</v>
      </c>
      <c r="BW100" s="5">
        <f>BV100/BV101</f>
        <v>0</v>
      </c>
      <c r="BX100" s="5">
        <f>0/$BX$3</f>
        <v>0</v>
      </c>
      <c r="BZ100">
        <v>0</v>
      </c>
      <c r="CA100" s="5">
        <f>BZ100/BZ101</f>
        <v>0</v>
      </c>
      <c r="CB100" s="5">
        <f>0/$CB$3</f>
        <v>0</v>
      </c>
      <c r="CD100">
        <v>0</v>
      </c>
      <c r="CE100" s="5">
        <f>CD100/CD101</f>
        <v>0</v>
      </c>
      <c r="CF100" s="5">
        <f>0/$CF$3</f>
        <v>0</v>
      </c>
      <c r="CH100">
        <v>0</v>
      </c>
      <c r="CI100" s="5">
        <f>CH100/CH101</f>
        <v>0</v>
      </c>
      <c r="CJ100" s="5">
        <f>0/$CJ$3</f>
        <v>0</v>
      </c>
      <c r="CL100">
        <v>0</v>
      </c>
      <c r="CM100" s="5">
        <f>CL100/CL101</f>
        <v>0</v>
      </c>
      <c r="CN100" s="5">
        <f>0/$CN$3</f>
        <v>0</v>
      </c>
    </row>
    <row r="101" spans="1:92" s="6" customFormat="1" x14ac:dyDescent="0.25">
      <c r="A101" s="7" t="s">
        <v>13</v>
      </c>
      <c r="B101" s="6">
        <v>1000</v>
      </c>
      <c r="F101" s="6">
        <v>472</v>
      </c>
      <c r="J101" s="6">
        <v>285</v>
      </c>
      <c r="N101" s="6">
        <v>232</v>
      </c>
      <c r="R101" s="6">
        <v>294</v>
      </c>
      <c r="V101" s="6">
        <v>416</v>
      </c>
      <c r="Z101" s="6">
        <v>420</v>
      </c>
      <c r="AD101" s="6">
        <v>500</v>
      </c>
      <c r="AH101" s="6">
        <v>500</v>
      </c>
      <c r="AL101" s="6">
        <v>169</v>
      </c>
      <c r="AP101" s="6">
        <v>311</v>
      </c>
      <c r="AT101" s="6">
        <v>390</v>
      </c>
      <c r="AX101" s="6">
        <v>130</v>
      </c>
      <c r="BB101" s="6">
        <v>406</v>
      </c>
      <c r="BF101" s="6">
        <v>372</v>
      </c>
      <c r="BJ101" s="6">
        <v>222</v>
      </c>
      <c r="BN101" s="6">
        <v>380</v>
      </c>
      <c r="BR101" s="6">
        <v>370</v>
      </c>
      <c r="BV101" s="6">
        <v>250</v>
      </c>
      <c r="BZ101" s="6">
        <v>250</v>
      </c>
      <c r="CD101" s="6">
        <v>210</v>
      </c>
      <c r="CH101" s="6">
        <v>220</v>
      </c>
      <c r="CL101" s="6">
        <v>320</v>
      </c>
    </row>
    <row r="102" spans="1:92" hidden="1" x14ac:dyDescent="0.25">
      <c r="A102" s="8" t="s">
        <v>14</v>
      </c>
      <c r="B102">
        <v>0</v>
      </c>
      <c r="F102">
        <v>0</v>
      </c>
      <c r="J102">
        <v>0</v>
      </c>
      <c r="N102">
        <v>0</v>
      </c>
      <c r="R102">
        <v>0</v>
      </c>
      <c r="V102">
        <v>0</v>
      </c>
      <c r="Z102">
        <v>0</v>
      </c>
      <c r="AD102">
        <v>0</v>
      </c>
      <c r="AH102">
        <v>0</v>
      </c>
      <c r="AL102">
        <v>0</v>
      </c>
      <c r="AP102">
        <v>0</v>
      </c>
      <c r="AT102">
        <v>0</v>
      </c>
      <c r="AX102">
        <v>0</v>
      </c>
      <c r="BB102">
        <v>0</v>
      </c>
      <c r="BF102">
        <v>0</v>
      </c>
      <c r="BJ102">
        <v>0</v>
      </c>
      <c r="BN102">
        <v>0</v>
      </c>
      <c r="BR102">
        <v>0</v>
      </c>
      <c r="BV102">
        <v>0</v>
      </c>
      <c r="BZ102">
        <v>0</v>
      </c>
      <c r="CD102">
        <v>0</v>
      </c>
      <c r="CH102">
        <v>0</v>
      </c>
      <c r="CL102">
        <v>0</v>
      </c>
    </row>
    <row r="103" spans="1:92" hidden="1" x14ac:dyDescent="0.25">
      <c r="A103" s="8" t="s">
        <v>15</v>
      </c>
      <c r="B103">
        <v>0</v>
      </c>
      <c r="F103">
        <v>0</v>
      </c>
      <c r="J103">
        <v>0</v>
      </c>
      <c r="N103">
        <v>0</v>
      </c>
      <c r="R103">
        <v>0</v>
      </c>
      <c r="V103">
        <v>0</v>
      </c>
      <c r="Z103">
        <v>0</v>
      </c>
      <c r="AD103">
        <v>0</v>
      </c>
      <c r="AH103">
        <v>0</v>
      </c>
      <c r="AL103">
        <v>0</v>
      </c>
      <c r="AP103">
        <v>0</v>
      </c>
      <c r="AT103">
        <v>0</v>
      </c>
      <c r="AX103">
        <v>0</v>
      </c>
      <c r="BB103">
        <v>0</v>
      </c>
      <c r="BF103">
        <v>0</v>
      </c>
      <c r="BJ103">
        <v>0</v>
      </c>
      <c r="BN103">
        <v>0</v>
      </c>
      <c r="BR103">
        <v>0</v>
      </c>
      <c r="BV103">
        <v>0</v>
      </c>
      <c r="BZ103">
        <v>0</v>
      </c>
      <c r="CD103">
        <v>0</v>
      </c>
      <c r="CH103">
        <v>0</v>
      </c>
      <c r="CL103">
        <v>0</v>
      </c>
    </row>
    <row r="105" spans="1:92" x14ac:dyDescent="0.25">
      <c r="AN105" s="2" t="s">
        <v>5</v>
      </c>
      <c r="AR105" s="2" t="s">
        <v>6</v>
      </c>
      <c r="AV105" s="2" t="s">
        <v>7</v>
      </c>
      <c r="AZ105" s="2" t="s">
        <v>8</v>
      </c>
      <c r="BD105" s="2" t="s">
        <v>5</v>
      </c>
      <c r="BH105" s="2" t="s">
        <v>6</v>
      </c>
      <c r="BL105" s="2" t="s">
        <v>7</v>
      </c>
      <c r="BP105" s="2" t="s">
        <v>5</v>
      </c>
      <c r="BT105" s="2" t="s">
        <v>6</v>
      </c>
      <c r="BX105" s="2" t="s">
        <v>7</v>
      </c>
      <c r="CB105" s="2" t="s">
        <v>5</v>
      </c>
      <c r="CF105" s="2" t="s">
        <v>6</v>
      </c>
      <c r="CJ105" s="2" t="s">
        <v>7</v>
      </c>
      <c r="CN105" s="2" t="s">
        <v>8</v>
      </c>
    </row>
    <row r="106" spans="1:92" s="3" customFormat="1" x14ac:dyDescent="0.25">
      <c r="A106" s="9" t="str">
        <f>HYPERLINK("#cech_brand!A1","Kterou **značku** si vybavíte, když vidíte tuto osobnost?")</f>
        <v>Kterou **značku** si vybavíte, když vidíte tuto osobnost?</v>
      </c>
      <c r="D106" s="4" t="s">
        <v>10</v>
      </c>
      <c r="H106" s="4" t="s">
        <v>10</v>
      </c>
      <c r="L106" s="4" t="s">
        <v>10</v>
      </c>
      <c r="P106" s="4" t="s">
        <v>10</v>
      </c>
      <c r="T106" s="4" t="s">
        <v>10</v>
      </c>
      <c r="X106" s="4" t="s">
        <v>10</v>
      </c>
      <c r="AB106" s="4" t="s">
        <v>10</v>
      </c>
      <c r="AF106" s="4" t="s">
        <v>10</v>
      </c>
      <c r="AJ106" s="4" t="s">
        <v>10</v>
      </c>
      <c r="AN106" s="4" t="s">
        <v>10</v>
      </c>
      <c r="AR106" s="4" t="s">
        <v>10</v>
      </c>
      <c r="AV106" s="4" t="s">
        <v>10</v>
      </c>
      <c r="AZ106" s="4" t="s">
        <v>10</v>
      </c>
      <c r="BD106" s="4" t="s">
        <v>10</v>
      </c>
      <c r="BH106" s="4" t="s">
        <v>10</v>
      </c>
      <c r="BL106" s="4" t="s">
        <v>10</v>
      </c>
      <c r="BP106" s="4" t="s">
        <v>10</v>
      </c>
      <c r="BT106" s="4" t="s">
        <v>10</v>
      </c>
      <c r="BX106" s="4" t="s">
        <v>10</v>
      </c>
      <c r="CB106" s="4" t="s">
        <v>10</v>
      </c>
      <c r="CF106" s="4" t="s">
        <v>10</v>
      </c>
      <c r="CJ106" s="4" t="s">
        <v>10</v>
      </c>
      <c r="CN106" s="4" t="s">
        <v>10</v>
      </c>
    </row>
    <row r="107" spans="1:92" x14ac:dyDescent="0.25">
      <c r="A107" s="1" t="s">
        <v>200</v>
      </c>
      <c r="B107">
        <v>405</v>
      </c>
      <c r="C107" s="5">
        <f>B107/B109</f>
        <v>0.40500000000000003</v>
      </c>
      <c r="D107" s="5">
        <f>405/$D$3</f>
        <v>0.40500000000000003</v>
      </c>
      <c r="F107">
        <v>232</v>
      </c>
      <c r="G107" s="5">
        <f>F107/F109</f>
        <v>0.49152542372881358</v>
      </c>
      <c r="H107" s="10">
        <f>232/$H$3</f>
        <v>0.49152542372881358</v>
      </c>
      <c r="J107">
        <v>153</v>
      </c>
      <c r="K107" s="5">
        <f>J107/J109</f>
        <v>0.5368421052631579</v>
      </c>
      <c r="L107" s="10">
        <f>153/$L$3</f>
        <v>0.5368421052631579</v>
      </c>
      <c r="N107">
        <v>130</v>
      </c>
      <c r="O107" s="5">
        <f>N107/N109</f>
        <v>0.56034482758620685</v>
      </c>
      <c r="P107" s="10">
        <f>130/$P$3</f>
        <v>0.56034482758620685</v>
      </c>
      <c r="R107">
        <v>168</v>
      </c>
      <c r="S107" s="5">
        <f>R107/R109</f>
        <v>0.5714285714285714</v>
      </c>
      <c r="T107" s="10">
        <f>168/$T$3</f>
        <v>0.5714285714285714</v>
      </c>
      <c r="V107">
        <v>210</v>
      </c>
      <c r="W107" s="5">
        <f>V107/V109</f>
        <v>0.50480769230769229</v>
      </c>
      <c r="X107" s="10">
        <f>210/$X$3</f>
        <v>0.50480769230769229</v>
      </c>
      <c r="Z107">
        <v>224</v>
      </c>
      <c r="AA107" s="5">
        <f>Z107/Z109</f>
        <v>0.53333333333333333</v>
      </c>
      <c r="AB107" s="10">
        <f>224/$AB$3</f>
        <v>0.53333333333333333</v>
      </c>
      <c r="AD107">
        <v>229</v>
      </c>
      <c r="AE107" s="5">
        <f>AD107/AD109</f>
        <v>0.45800000000000002</v>
      </c>
      <c r="AF107" s="10">
        <f>229/$AF$3</f>
        <v>0.45800000000000002</v>
      </c>
      <c r="AH107">
        <v>176</v>
      </c>
      <c r="AI107" s="5">
        <f>AH107/AH109</f>
        <v>0.35199999999999998</v>
      </c>
      <c r="AJ107" s="11">
        <f>176/$AJ$3</f>
        <v>0.35199999999999998</v>
      </c>
      <c r="AL107">
        <v>70</v>
      </c>
      <c r="AM107" s="5">
        <f>AL107/AL109</f>
        <v>0.41420118343195267</v>
      </c>
      <c r="AN107" s="5">
        <f>70/$AN$3</f>
        <v>0.41420118343195267</v>
      </c>
      <c r="AP107">
        <v>140</v>
      </c>
      <c r="AQ107" s="5">
        <f>AP107/AP109</f>
        <v>0.45016077170418006</v>
      </c>
      <c r="AR107" s="5">
        <f>140/$AR$3</f>
        <v>0.45016077170418006</v>
      </c>
      <c r="AS107" s="12"/>
      <c r="AT107">
        <v>155</v>
      </c>
      <c r="AU107" s="5">
        <f>AT107/AT109</f>
        <v>0.39743589743589741</v>
      </c>
      <c r="AV107" s="5">
        <f>155/$AV$3</f>
        <v>0.39743589743589741</v>
      </c>
      <c r="AX107">
        <v>40</v>
      </c>
      <c r="AY107" s="5">
        <f>AX107/AX109</f>
        <v>0.30769230769230771</v>
      </c>
      <c r="AZ107" s="11">
        <f>40/$AZ$3</f>
        <v>0.30769230769230771</v>
      </c>
      <c r="BB107">
        <v>153</v>
      </c>
      <c r="BC107" s="5">
        <f>BB107/BB109</f>
        <v>0.37684729064039407</v>
      </c>
      <c r="BD107" s="5">
        <f>153/$BD$3</f>
        <v>0.37684729064039407</v>
      </c>
      <c r="BF107">
        <v>149</v>
      </c>
      <c r="BG107" s="5">
        <f>BF107/BF109</f>
        <v>0.40053763440860213</v>
      </c>
      <c r="BH107" s="5">
        <f>149/$BH$3</f>
        <v>0.40053763440860213</v>
      </c>
      <c r="BJ107">
        <v>103</v>
      </c>
      <c r="BK107" s="5">
        <f>BJ107/BJ109</f>
        <v>0.46396396396396394</v>
      </c>
      <c r="BL107" s="10">
        <f>103/$BL$3</f>
        <v>0.46396396396396394</v>
      </c>
      <c r="BN107">
        <v>157</v>
      </c>
      <c r="BO107" s="5">
        <f>BN107/BN109</f>
        <v>0.41315789473684211</v>
      </c>
      <c r="BP107" s="5">
        <f>157/$BP$3</f>
        <v>0.41315789473684211</v>
      </c>
      <c r="BR107">
        <v>144</v>
      </c>
      <c r="BS107" s="5">
        <f>BR107/BR109</f>
        <v>0.38918918918918921</v>
      </c>
      <c r="BT107" s="5">
        <f>144/$BT$3</f>
        <v>0.38918918918918921</v>
      </c>
      <c r="BV107">
        <v>104</v>
      </c>
      <c r="BW107" s="5">
        <f>BV107/BV109</f>
        <v>0.41599999999999998</v>
      </c>
      <c r="BX107" s="5">
        <f>104/$BX$3</f>
        <v>0.41599999999999998</v>
      </c>
      <c r="BZ107">
        <v>90</v>
      </c>
      <c r="CA107" s="5">
        <f>BZ107/BZ109</f>
        <v>0.36</v>
      </c>
      <c r="CB107" s="5">
        <f>90/$CB$3</f>
        <v>0.36</v>
      </c>
      <c r="CD107">
        <v>75</v>
      </c>
      <c r="CE107" s="5">
        <f>CD107/CD109</f>
        <v>0.35714285714285715</v>
      </c>
      <c r="CF107" s="5">
        <f>75/$CF$3</f>
        <v>0.35714285714285715</v>
      </c>
      <c r="CH107">
        <v>95</v>
      </c>
      <c r="CI107" s="5">
        <f>CH107/CH109</f>
        <v>0.43181818181818182</v>
      </c>
      <c r="CJ107" s="5">
        <f>95/$CJ$3</f>
        <v>0.43181818181818182</v>
      </c>
      <c r="CL107">
        <v>145</v>
      </c>
      <c r="CM107" s="5">
        <f>CL107/CL109</f>
        <v>0.453125</v>
      </c>
      <c r="CN107" s="5">
        <f>145/$CN$3</f>
        <v>0.453125</v>
      </c>
    </row>
    <row r="108" spans="1:92" x14ac:dyDescent="0.25">
      <c r="A108" s="1" t="s">
        <v>12</v>
      </c>
      <c r="B108">
        <v>620</v>
      </c>
      <c r="C108" s="5">
        <f>B108/B109</f>
        <v>0.62</v>
      </c>
      <c r="D108" s="5">
        <f>620/$D$3</f>
        <v>0.62</v>
      </c>
      <c r="F108">
        <v>262</v>
      </c>
      <c r="G108" s="5">
        <f>F108/F109</f>
        <v>0.55508474576271183</v>
      </c>
      <c r="H108" s="11">
        <f>262/$H$3</f>
        <v>0.55508474576271183</v>
      </c>
      <c r="J108">
        <v>149</v>
      </c>
      <c r="K108" s="5">
        <f>J108/J109</f>
        <v>0.52280701754385961</v>
      </c>
      <c r="L108" s="11">
        <f>149/$L$3</f>
        <v>0.52280701754385961</v>
      </c>
      <c r="N108">
        <v>114</v>
      </c>
      <c r="O108" s="5">
        <f>N108/N109</f>
        <v>0.49137931034482757</v>
      </c>
      <c r="P108" s="11">
        <f>114/$P$3</f>
        <v>0.49137931034482757</v>
      </c>
      <c r="R108">
        <v>144</v>
      </c>
      <c r="S108" s="5">
        <f>R108/R109</f>
        <v>0.48979591836734693</v>
      </c>
      <c r="T108" s="11">
        <f>144/$T$3</f>
        <v>0.48979591836734693</v>
      </c>
      <c r="V108">
        <v>227</v>
      </c>
      <c r="W108" s="5">
        <f>V108/V109</f>
        <v>0.54567307692307687</v>
      </c>
      <c r="X108" s="11">
        <f>227/$X$3</f>
        <v>0.54567307692307687</v>
      </c>
      <c r="Z108">
        <v>218</v>
      </c>
      <c r="AA108" s="5">
        <f>Z108/Z109</f>
        <v>0.51904761904761909</v>
      </c>
      <c r="AB108" s="11">
        <f>218/$AB$3</f>
        <v>0.51904761904761909</v>
      </c>
      <c r="AD108">
        <v>287</v>
      </c>
      <c r="AE108" s="5">
        <f>AD108/AD109</f>
        <v>0.57399999999999995</v>
      </c>
      <c r="AF108" s="5">
        <f>287/$AF$3</f>
        <v>0.57399999999999995</v>
      </c>
      <c r="AH108">
        <v>333</v>
      </c>
      <c r="AI108" s="5">
        <f>AH108/AH109</f>
        <v>0.66600000000000004</v>
      </c>
      <c r="AJ108" s="5">
        <f>333/$AJ$3</f>
        <v>0.66600000000000004</v>
      </c>
      <c r="AL108">
        <v>103</v>
      </c>
      <c r="AM108" s="5">
        <f>AL108/AL109</f>
        <v>0.60946745562130178</v>
      </c>
      <c r="AN108" s="5">
        <f>103/$AN$3</f>
        <v>0.60946745562130178</v>
      </c>
      <c r="AP108">
        <v>188</v>
      </c>
      <c r="AQ108" s="5">
        <f>AP108/AP109</f>
        <v>0.60450160771704176</v>
      </c>
      <c r="AR108" s="5">
        <f>188/$AR$3</f>
        <v>0.60450160771704176</v>
      </c>
      <c r="AT108">
        <v>239</v>
      </c>
      <c r="AU108" s="5">
        <f>AT108/AT109</f>
        <v>0.61282051282051286</v>
      </c>
      <c r="AV108" s="5">
        <f>239/$AV$3</f>
        <v>0.61282051282051286</v>
      </c>
      <c r="AX108">
        <v>90</v>
      </c>
      <c r="AY108" s="5">
        <f>AX108/AX109</f>
        <v>0.69230769230769229</v>
      </c>
      <c r="AZ108" s="5">
        <f>90/$AZ$3</f>
        <v>0.69230769230769229</v>
      </c>
      <c r="BB108">
        <v>261</v>
      </c>
      <c r="BC108" s="5">
        <f>BB108/BB109</f>
        <v>0.6428571428571429</v>
      </c>
      <c r="BD108" s="5">
        <f>261/$BD$3</f>
        <v>0.6428571428571429</v>
      </c>
      <c r="BF108">
        <v>230</v>
      </c>
      <c r="BG108" s="5">
        <f>BF108/BF109</f>
        <v>0.61827956989247312</v>
      </c>
      <c r="BH108" s="5">
        <f>230/$BH$3</f>
        <v>0.61827956989247312</v>
      </c>
      <c r="BJ108">
        <v>129</v>
      </c>
      <c r="BK108" s="5">
        <f>BJ108/BJ109</f>
        <v>0.58108108108108103</v>
      </c>
      <c r="BL108" s="5">
        <f>129/$BL$3</f>
        <v>0.58108108108108103</v>
      </c>
      <c r="BN108">
        <v>235</v>
      </c>
      <c r="BO108" s="5">
        <f>BN108/BN109</f>
        <v>0.61842105263157898</v>
      </c>
      <c r="BP108" s="5">
        <f>235/$BP$3</f>
        <v>0.61842105263157898</v>
      </c>
      <c r="BR108">
        <v>233</v>
      </c>
      <c r="BS108" s="5">
        <f>BR108/BR109</f>
        <v>0.62972972972972974</v>
      </c>
      <c r="BT108" s="5">
        <f>233/$BT$3</f>
        <v>0.62972972972972974</v>
      </c>
      <c r="BV108">
        <v>152</v>
      </c>
      <c r="BW108" s="5">
        <f>BV108/BV109</f>
        <v>0.60799999999999998</v>
      </c>
      <c r="BX108" s="5">
        <f>152/$BX$3</f>
        <v>0.60799999999999998</v>
      </c>
      <c r="BZ108">
        <v>162</v>
      </c>
      <c r="CA108" s="5">
        <f>BZ108/BZ109</f>
        <v>0.64800000000000002</v>
      </c>
      <c r="CB108" s="5">
        <f>162/$CB$3</f>
        <v>0.64800000000000002</v>
      </c>
      <c r="CD108">
        <v>140</v>
      </c>
      <c r="CE108" s="5">
        <f>CD108/CD109</f>
        <v>0.66666666666666663</v>
      </c>
      <c r="CF108" s="5">
        <f>140/$CF$3</f>
        <v>0.66666666666666663</v>
      </c>
      <c r="CH108">
        <v>132</v>
      </c>
      <c r="CI108" s="5">
        <f>CH108/CH109</f>
        <v>0.6</v>
      </c>
      <c r="CJ108" s="5">
        <f>132/$CJ$3</f>
        <v>0.6</v>
      </c>
      <c r="CL108">
        <v>186</v>
      </c>
      <c r="CM108" s="5">
        <f>CL108/CL109</f>
        <v>0.58125000000000004</v>
      </c>
      <c r="CN108" s="5">
        <f>186/$CN$3</f>
        <v>0.58125000000000004</v>
      </c>
    </row>
    <row r="109" spans="1:92" s="6" customFormat="1" x14ac:dyDescent="0.25">
      <c r="A109" s="7" t="s">
        <v>13</v>
      </c>
      <c r="B109" s="6">
        <v>1000</v>
      </c>
      <c r="F109" s="6">
        <v>472</v>
      </c>
      <c r="J109" s="6">
        <v>285</v>
      </c>
      <c r="N109" s="6">
        <v>232</v>
      </c>
      <c r="R109" s="6">
        <v>294</v>
      </c>
      <c r="V109" s="6">
        <v>416</v>
      </c>
      <c r="Z109" s="6">
        <v>420</v>
      </c>
      <c r="AD109" s="6">
        <v>500</v>
      </c>
      <c r="AH109" s="6">
        <v>500</v>
      </c>
      <c r="AL109" s="6">
        <v>169</v>
      </c>
      <c r="AP109" s="6">
        <v>311</v>
      </c>
      <c r="AT109" s="6">
        <v>390</v>
      </c>
      <c r="AX109" s="6">
        <v>130</v>
      </c>
      <c r="BB109" s="6">
        <v>406</v>
      </c>
      <c r="BF109" s="6">
        <v>372</v>
      </c>
      <c r="BJ109" s="6">
        <v>222</v>
      </c>
      <c r="BN109" s="6">
        <v>380</v>
      </c>
      <c r="BR109" s="6">
        <v>370</v>
      </c>
      <c r="BV109" s="6">
        <v>250</v>
      </c>
      <c r="BZ109" s="6">
        <v>250</v>
      </c>
      <c r="CD109" s="6">
        <v>210</v>
      </c>
      <c r="CH109" s="6">
        <v>220</v>
      </c>
      <c r="CL109" s="6">
        <v>320</v>
      </c>
    </row>
    <row r="110" spans="1:92" hidden="1" x14ac:dyDescent="0.25">
      <c r="A110" s="8" t="s">
        <v>14</v>
      </c>
      <c r="B110">
        <v>0</v>
      </c>
      <c r="F110">
        <v>0</v>
      </c>
      <c r="J110">
        <v>0</v>
      </c>
      <c r="N110">
        <v>0</v>
      </c>
      <c r="R110">
        <v>0</v>
      </c>
      <c r="V110">
        <v>0</v>
      </c>
      <c r="Z110">
        <v>0</v>
      </c>
      <c r="AD110">
        <v>0</v>
      </c>
      <c r="AH110">
        <v>0</v>
      </c>
      <c r="AL110">
        <v>0</v>
      </c>
      <c r="AP110">
        <v>0</v>
      </c>
      <c r="AT110">
        <v>0</v>
      </c>
      <c r="AX110">
        <v>0</v>
      </c>
      <c r="BB110">
        <v>0</v>
      </c>
      <c r="BF110">
        <v>0</v>
      </c>
      <c r="BJ110">
        <v>0</v>
      </c>
      <c r="BN110">
        <v>0</v>
      </c>
      <c r="BR110">
        <v>0</v>
      </c>
      <c r="BV110">
        <v>0</v>
      </c>
      <c r="BZ110">
        <v>0</v>
      </c>
      <c r="CD110">
        <v>0</v>
      </c>
      <c r="CH110">
        <v>0</v>
      </c>
      <c r="CL110">
        <v>0</v>
      </c>
    </row>
    <row r="111" spans="1:92" hidden="1" x14ac:dyDescent="0.25">
      <c r="A111" s="8" t="s">
        <v>15</v>
      </c>
      <c r="B111">
        <v>0</v>
      </c>
      <c r="F111">
        <v>0</v>
      </c>
      <c r="J111">
        <v>0</v>
      </c>
      <c r="N111">
        <v>0</v>
      </c>
      <c r="R111">
        <v>0</v>
      </c>
      <c r="V111">
        <v>0</v>
      </c>
      <c r="Z111">
        <v>0</v>
      </c>
      <c r="AD111">
        <v>0</v>
      </c>
      <c r="AH111">
        <v>0</v>
      </c>
      <c r="AL111">
        <v>0</v>
      </c>
      <c r="AP111">
        <v>0</v>
      </c>
      <c r="AT111">
        <v>0</v>
      </c>
      <c r="AX111">
        <v>0</v>
      </c>
      <c r="BB111">
        <v>0</v>
      </c>
      <c r="BF111">
        <v>0</v>
      </c>
      <c r="BJ111">
        <v>0</v>
      </c>
      <c r="BN111">
        <v>0</v>
      </c>
      <c r="BR111">
        <v>0</v>
      </c>
      <c r="BV111">
        <v>0</v>
      </c>
      <c r="BZ111">
        <v>0</v>
      </c>
      <c r="CD111">
        <v>0</v>
      </c>
      <c r="CH111">
        <v>0</v>
      </c>
      <c r="CL111">
        <v>0</v>
      </c>
    </row>
    <row r="113" spans="1:92" x14ac:dyDescent="0.25">
      <c r="AN113" s="2" t="s">
        <v>5</v>
      </c>
      <c r="AR113" s="2" t="s">
        <v>6</v>
      </c>
      <c r="AV113" s="2" t="s">
        <v>7</v>
      </c>
      <c r="AZ113" s="2" t="s">
        <v>8</v>
      </c>
      <c r="BD113" s="2" t="s">
        <v>5</v>
      </c>
      <c r="BH113" s="2" t="s">
        <v>6</v>
      </c>
      <c r="BL113" s="2" t="s">
        <v>7</v>
      </c>
      <c r="BP113" s="2" t="s">
        <v>5</v>
      </c>
      <c r="BT113" s="2" t="s">
        <v>6</v>
      </c>
      <c r="BX113" s="2" t="s">
        <v>7</v>
      </c>
      <c r="CB113" s="2" t="s">
        <v>5</v>
      </c>
      <c r="CF113" s="2" t="s">
        <v>6</v>
      </c>
      <c r="CJ113" s="2" t="s">
        <v>7</v>
      </c>
      <c r="CN113" s="2" t="s">
        <v>8</v>
      </c>
    </row>
    <row r="114" spans="1:92" s="3" customFormat="1" x14ac:dyDescent="0.25">
      <c r="A114" s="9" t="str">
        <f>HYPERLINK("#cech_emo!A1","Jaký máte pocit z této osobnosti?")</f>
        <v>Jaký máte pocit z této osobnosti?</v>
      </c>
      <c r="D114" s="4" t="s">
        <v>10</v>
      </c>
      <c r="H114" s="4" t="s">
        <v>10</v>
      </c>
      <c r="L114" s="4" t="s">
        <v>10</v>
      </c>
      <c r="P114" s="4" t="s">
        <v>10</v>
      </c>
      <c r="T114" s="4" t="s">
        <v>10</v>
      </c>
      <c r="X114" s="4" t="s">
        <v>10</v>
      </c>
      <c r="AB114" s="4" t="s">
        <v>10</v>
      </c>
      <c r="AF114" s="4" t="s">
        <v>10</v>
      </c>
      <c r="AJ114" s="4" t="s">
        <v>10</v>
      </c>
      <c r="AN114" s="4" t="s">
        <v>10</v>
      </c>
      <c r="AR114" s="4" t="s">
        <v>10</v>
      </c>
      <c r="AV114" s="4" t="s">
        <v>10</v>
      </c>
      <c r="AZ114" s="4" t="s">
        <v>10</v>
      </c>
      <c r="BD114" s="4" t="s">
        <v>10</v>
      </c>
      <c r="BH114" s="4" t="s">
        <v>10</v>
      </c>
      <c r="BL114" s="4" t="s">
        <v>10</v>
      </c>
      <c r="BP114" s="4" t="s">
        <v>10</v>
      </c>
      <c r="BT114" s="4" t="s">
        <v>10</v>
      </c>
      <c r="BX114" s="4" t="s">
        <v>10</v>
      </c>
      <c r="CB114" s="4" t="s">
        <v>10</v>
      </c>
      <c r="CF114" s="4" t="s">
        <v>10</v>
      </c>
      <c r="CJ114" s="4" t="s">
        <v>10</v>
      </c>
      <c r="CN114" s="4" t="s">
        <v>10</v>
      </c>
    </row>
    <row r="115" spans="1:92" x14ac:dyDescent="0.25">
      <c r="A115" s="1" t="s">
        <v>221</v>
      </c>
      <c r="B115">
        <v>103</v>
      </c>
      <c r="C115" s="5">
        <f>B115/B121</f>
        <v>0.10299999999999999</v>
      </c>
      <c r="D115" s="5">
        <f>103/$D$3</f>
        <v>0.10299999999999999</v>
      </c>
      <c r="F115">
        <v>64</v>
      </c>
      <c r="G115" s="5">
        <f>F115/F121</f>
        <v>0.13559322033898305</v>
      </c>
      <c r="H115" s="5">
        <f>64/$H$3</f>
        <v>0.13559322033898305</v>
      </c>
      <c r="J115">
        <v>38</v>
      </c>
      <c r="K115" s="5">
        <f>J115/J121</f>
        <v>0.13333333333333333</v>
      </c>
      <c r="L115" s="5">
        <f>38/$L$3</f>
        <v>0.13333333333333333</v>
      </c>
      <c r="N115">
        <v>39</v>
      </c>
      <c r="O115" s="5">
        <f>N115/N121</f>
        <v>0.16810344827586207</v>
      </c>
      <c r="P115" s="10">
        <f>39/$P$3</f>
        <v>0.16810344827586207</v>
      </c>
      <c r="R115">
        <v>53</v>
      </c>
      <c r="S115" s="5">
        <f>R115/R121</f>
        <v>0.18027210884353742</v>
      </c>
      <c r="T115" s="10">
        <f>53/$T$3</f>
        <v>0.18027210884353742</v>
      </c>
      <c r="V115">
        <v>59</v>
      </c>
      <c r="W115" s="5">
        <f>V115/V121</f>
        <v>0.14182692307692307</v>
      </c>
      <c r="X115" s="5">
        <f>59/$X$3</f>
        <v>0.14182692307692307</v>
      </c>
      <c r="Z115">
        <v>64</v>
      </c>
      <c r="AA115" s="5">
        <f>Z115/Z121</f>
        <v>0.15238095238095239</v>
      </c>
      <c r="AB115" s="5">
        <f>64/$AB$3</f>
        <v>0.15238095238095239</v>
      </c>
      <c r="AD115">
        <v>73</v>
      </c>
      <c r="AE115" s="5">
        <f>AD115/AD121</f>
        <v>0.14599999999999999</v>
      </c>
      <c r="AF115" s="5">
        <f>73/$AF$3</f>
        <v>0.14599999999999999</v>
      </c>
      <c r="AH115">
        <v>30</v>
      </c>
      <c r="AI115" s="5">
        <f>AH115/AH121</f>
        <v>0.06</v>
      </c>
      <c r="AJ115" s="5">
        <f>30/$AJ$3</f>
        <v>0.06</v>
      </c>
      <c r="AL115">
        <v>27</v>
      </c>
      <c r="AM115" s="5">
        <f>AL115/AL121</f>
        <v>0.15976331360946747</v>
      </c>
      <c r="AN115" s="10">
        <f>27/$AN$3</f>
        <v>0.15976331360946747</v>
      </c>
      <c r="AO115" s="12"/>
      <c r="AP115">
        <v>32</v>
      </c>
      <c r="AQ115" s="5">
        <f>AP115/AP121</f>
        <v>0.10289389067524116</v>
      </c>
      <c r="AR115" s="5">
        <f>32/$AR$3</f>
        <v>0.10289389067524116</v>
      </c>
      <c r="AT115">
        <v>38</v>
      </c>
      <c r="AU115" s="5">
        <f>AT115/AT121</f>
        <v>9.7435897435897437E-2</v>
      </c>
      <c r="AV115" s="5">
        <f>38/$AV$3</f>
        <v>9.7435897435897437E-2</v>
      </c>
      <c r="AX115">
        <v>6</v>
      </c>
      <c r="AY115" s="5">
        <f>AX115/AX121</f>
        <v>4.6153846153846156E-2</v>
      </c>
      <c r="AZ115" s="11">
        <f>6/$AZ$3</f>
        <v>4.6153846153846156E-2</v>
      </c>
      <c r="BB115">
        <v>47</v>
      </c>
      <c r="BC115" s="5">
        <f>BB115/BB121</f>
        <v>0.11576354679802955</v>
      </c>
      <c r="BD115" s="5">
        <f>47/$BD$3</f>
        <v>0.11576354679802955</v>
      </c>
      <c r="BF115">
        <v>35</v>
      </c>
      <c r="BG115" s="5">
        <f>BF115/BF121</f>
        <v>9.4086021505376344E-2</v>
      </c>
      <c r="BH115" s="5">
        <f>35/$BH$3</f>
        <v>9.4086021505376344E-2</v>
      </c>
      <c r="BJ115">
        <v>21</v>
      </c>
      <c r="BK115" s="5">
        <f>BJ115/BJ121</f>
        <v>9.45945945945946E-2</v>
      </c>
      <c r="BL115" s="5">
        <f>21/$BL$3</f>
        <v>9.45945945945946E-2</v>
      </c>
      <c r="BN115">
        <v>41</v>
      </c>
      <c r="BO115" s="5">
        <f>BN115/BN121</f>
        <v>0.10789473684210527</v>
      </c>
      <c r="BP115" s="5">
        <f>41/$BP$3</f>
        <v>0.10789473684210527</v>
      </c>
      <c r="BR115">
        <v>36</v>
      </c>
      <c r="BS115" s="5">
        <f>BR115/BR121</f>
        <v>9.7297297297297303E-2</v>
      </c>
      <c r="BT115" s="5">
        <f>36/$BT$3</f>
        <v>9.7297297297297303E-2</v>
      </c>
      <c r="BV115">
        <v>26</v>
      </c>
      <c r="BW115" s="5">
        <f>BV115/BV121</f>
        <v>0.104</v>
      </c>
      <c r="BX115" s="5">
        <f>26/$BX$3</f>
        <v>0.104</v>
      </c>
      <c r="BZ115">
        <v>25</v>
      </c>
      <c r="CA115" s="5">
        <f>BZ115/BZ121</f>
        <v>0.1</v>
      </c>
      <c r="CB115" s="5">
        <f>25/$CB$3</f>
        <v>0.1</v>
      </c>
      <c r="CD115">
        <v>26</v>
      </c>
      <c r="CE115" s="5">
        <f>CD115/CD121</f>
        <v>0.12380952380952381</v>
      </c>
      <c r="CF115" s="5">
        <f>26/$CF$3</f>
        <v>0.12380952380952381</v>
      </c>
      <c r="CH115">
        <v>21</v>
      </c>
      <c r="CI115" s="5">
        <f>CH115/CH121</f>
        <v>9.5454545454545459E-2</v>
      </c>
      <c r="CJ115" s="5">
        <f>21/$CJ$3</f>
        <v>9.5454545454545459E-2</v>
      </c>
      <c r="CL115">
        <v>31</v>
      </c>
      <c r="CM115" s="5">
        <f>CL115/CL121</f>
        <v>9.6875000000000003E-2</v>
      </c>
      <c r="CN115" s="5">
        <f>31/$CN$3</f>
        <v>9.6875000000000003E-2</v>
      </c>
    </row>
    <row r="116" spans="1:92" x14ac:dyDescent="0.25">
      <c r="A116" s="1" t="s">
        <v>201</v>
      </c>
      <c r="B116">
        <v>353</v>
      </c>
      <c r="C116" s="5">
        <f>B116/B121</f>
        <v>0.35299999999999998</v>
      </c>
      <c r="D116" s="5">
        <f>353/$D$3</f>
        <v>0.35299999999999998</v>
      </c>
      <c r="F116">
        <v>191</v>
      </c>
      <c r="G116" s="5">
        <f>F116/F121</f>
        <v>0.40466101694915252</v>
      </c>
      <c r="H116" s="10">
        <f>191/$H$3</f>
        <v>0.40466101694915252</v>
      </c>
      <c r="J116">
        <v>120</v>
      </c>
      <c r="K116" s="5">
        <f>J116/J121</f>
        <v>0.42105263157894735</v>
      </c>
      <c r="L116" s="10">
        <f>120/$L$3</f>
        <v>0.42105263157894735</v>
      </c>
      <c r="N116">
        <v>109</v>
      </c>
      <c r="O116" s="5">
        <f>N116/N121</f>
        <v>0.46982758620689657</v>
      </c>
      <c r="P116" s="10">
        <f>109/$P$3</f>
        <v>0.46982758620689657</v>
      </c>
      <c r="R116">
        <v>136</v>
      </c>
      <c r="S116" s="5">
        <f>R116/R121</f>
        <v>0.46258503401360546</v>
      </c>
      <c r="T116" s="10">
        <f>136/$T$3</f>
        <v>0.46258503401360546</v>
      </c>
      <c r="V116">
        <v>178</v>
      </c>
      <c r="W116" s="5">
        <f>V116/V121</f>
        <v>0.42788461538461536</v>
      </c>
      <c r="X116" s="10">
        <f>178/$X$3</f>
        <v>0.42788461538461536</v>
      </c>
      <c r="Z116">
        <v>184</v>
      </c>
      <c r="AA116" s="5">
        <f>Z116/Z121</f>
        <v>0.43809523809523809</v>
      </c>
      <c r="AB116" s="10">
        <f>184/$AB$3</f>
        <v>0.43809523809523809</v>
      </c>
      <c r="AD116">
        <v>183</v>
      </c>
      <c r="AE116" s="5">
        <f>AD116/AD121</f>
        <v>0.36599999999999999</v>
      </c>
      <c r="AF116" s="5">
        <f>183/$AF$3</f>
        <v>0.36599999999999999</v>
      </c>
      <c r="AH116">
        <v>170</v>
      </c>
      <c r="AI116" s="5">
        <f>AH116/AH121</f>
        <v>0.34</v>
      </c>
      <c r="AJ116" s="5">
        <f>170/$AJ$3</f>
        <v>0.34</v>
      </c>
      <c r="AL116">
        <v>46</v>
      </c>
      <c r="AM116" s="5">
        <f>AL116/AL121</f>
        <v>0.27218934911242604</v>
      </c>
      <c r="AN116" s="11">
        <f>46/$AN$3</f>
        <v>0.27218934911242604</v>
      </c>
      <c r="AP116">
        <v>110</v>
      </c>
      <c r="AQ116" s="5">
        <f>AP116/AP121</f>
        <v>0.3536977491961415</v>
      </c>
      <c r="AR116" s="5">
        <f>110/$AR$3</f>
        <v>0.3536977491961415</v>
      </c>
      <c r="AT116">
        <v>147</v>
      </c>
      <c r="AU116" s="5">
        <f>AT116/AT121</f>
        <v>0.37692307692307692</v>
      </c>
      <c r="AV116" s="5">
        <f>147/$AV$3</f>
        <v>0.37692307692307692</v>
      </c>
      <c r="AX116">
        <v>50</v>
      </c>
      <c r="AY116" s="5">
        <f>AX116/AX121</f>
        <v>0.38461538461538464</v>
      </c>
      <c r="AZ116" s="5">
        <f>50/$AZ$3</f>
        <v>0.38461538461538464</v>
      </c>
      <c r="BB116">
        <v>122</v>
      </c>
      <c r="BC116" s="5">
        <f>BB116/BB121</f>
        <v>0.30049261083743845</v>
      </c>
      <c r="BD116" s="11">
        <f>122/$BD$3</f>
        <v>0.30049261083743845</v>
      </c>
      <c r="BF116">
        <v>137</v>
      </c>
      <c r="BG116" s="5">
        <f>BF116/BF121</f>
        <v>0.36827956989247312</v>
      </c>
      <c r="BH116" s="5">
        <f>137/$BH$3</f>
        <v>0.36827956989247312</v>
      </c>
      <c r="BJ116">
        <v>94</v>
      </c>
      <c r="BK116" s="5">
        <f>BJ116/BJ121</f>
        <v>0.42342342342342343</v>
      </c>
      <c r="BL116" s="10">
        <f>94/$BL$3</f>
        <v>0.42342342342342343</v>
      </c>
      <c r="BM116" s="12"/>
      <c r="BN116">
        <v>123</v>
      </c>
      <c r="BO116" s="5">
        <f>BN116/BN121</f>
        <v>0.3236842105263158</v>
      </c>
      <c r="BP116" s="5">
        <f>123/$BP$3</f>
        <v>0.3236842105263158</v>
      </c>
      <c r="BR116">
        <v>140</v>
      </c>
      <c r="BS116" s="5">
        <f>BR116/BR121</f>
        <v>0.3783783783783784</v>
      </c>
      <c r="BT116" s="5">
        <f>140/$BT$3</f>
        <v>0.3783783783783784</v>
      </c>
      <c r="BV116">
        <v>90</v>
      </c>
      <c r="BW116" s="5">
        <f>BV116/BV121</f>
        <v>0.36</v>
      </c>
      <c r="BX116" s="5">
        <f>90/$BX$3</f>
        <v>0.36</v>
      </c>
      <c r="BZ116">
        <v>86</v>
      </c>
      <c r="CA116" s="5">
        <f>BZ116/BZ121</f>
        <v>0.34399999999999997</v>
      </c>
      <c r="CB116" s="5">
        <f>86/$CB$3</f>
        <v>0.34399999999999997</v>
      </c>
      <c r="CD116">
        <v>71</v>
      </c>
      <c r="CE116" s="5">
        <f>CD116/CD121</f>
        <v>0.33809523809523812</v>
      </c>
      <c r="CF116" s="5">
        <f>71/$CF$3</f>
        <v>0.33809523809523812</v>
      </c>
      <c r="CH116">
        <v>80</v>
      </c>
      <c r="CI116" s="5">
        <f>CH116/CH121</f>
        <v>0.36363636363636365</v>
      </c>
      <c r="CJ116" s="5">
        <f>80/$CJ$3</f>
        <v>0.36363636363636365</v>
      </c>
      <c r="CL116">
        <v>116</v>
      </c>
      <c r="CM116" s="5">
        <f>CL116/CL121</f>
        <v>0.36249999999999999</v>
      </c>
      <c r="CN116" s="5">
        <f>116/$CN$3</f>
        <v>0.36249999999999999</v>
      </c>
    </row>
    <row r="117" spans="1:92" x14ac:dyDescent="0.25">
      <c r="A117" s="1" t="s">
        <v>203</v>
      </c>
      <c r="B117">
        <v>478</v>
      </c>
      <c r="C117" s="5">
        <f>B117/B121</f>
        <v>0.47799999999999998</v>
      </c>
      <c r="D117" s="5">
        <f>478/$D$3</f>
        <v>0.47799999999999998</v>
      </c>
      <c r="F117">
        <v>195</v>
      </c>
      <c r="G117" s="5">
        <f>F117/F121</f>
        <v>0.41313559322033899</v>
      </c>
      <c r="H117" s="11">
        <f>195/$H$3</f>
        <v>0.41313559322033899</v>
      </c>
      <c r="J117">
        <v>114</v>
      </c>
      <c r="K117" s="5">
        <f>J117/J121</f>
        <v>0.4</v>
      </c>
      <c r="L117" s="11">
        <f>114/$L$3</f>
        <v>0.4</v>
      </c>
      <c r="N117">
        <v>75</v>
      </c>
      <c r="O117" s="5">
        <f>N117/N121</f>
        <v>0.32327586206896552</v>
      </c>
      <c r="P117" s="11">
        <f>75/$P$3</f>
        <v>0.32327586206896552</v>
      </c>
      <c r="R117">
        <v>96</v>
      </c>
      <c r="S117" s="5">
        <f>R117/R121</f>
        <v>0.32653061224489793</v>
      </c>
      <c r="T117" s="11">
        <f>96/$T$3</f>
        <v>0.32653061224489793</v>
      </c>
      <c r="V117">
        <v>160</v>
      </c>
      <c r="W117" s="5">
        <f>V117/V121</f>
        <v>0.38461538461538464</v>
      </c>
      <c r="X117" s="11">
        <f>160/$X$3</f>
        <v>0.38461538461538464</v>
      </c>
      <c r="Z117">
        <v>154</v>
      </c>
      <c r="AA117" s="5">
        <f>Z117/Z121</f>
        <v>0.36666666666666664</v>
      </c>
      <c r="AB117" s="11">
        <f>154/$AB$3</f>
        <v>0.36666666666666664</v>
      </c>
      <c r="AD117">
        <v>210</v>
      </c>
      <c r="AE117" s="5">
        <f>AD117/AD121</f>
        <v>0.42</v>
      </c>
      <c r="AF117" s="11">
        <f>210/$AF$3</f>
        <v>0.42</v>
      </c>
      <c r="AH117">
        <v>268</v>
      </c>
      <c r="AI117" s="5">
        <f>AH117/AH121</f>
        <v>0.53600000000000003</v>
      </c>
      <c r="AJ117" s="10">
        <f>268/$AJ$3</f>
        <v>0.53600000000000003</v>
      </c>
      <c r="AL117">
        <v>82</v>
      </c>
      <c r="AM117" s="5">
        <f>AL117/AL121</f>
        <v>0.48520710059171596</v>
      </c>
      <c r="AN117" s="5">
        <f>82/$AN$3</f>
        <v>0.48520710059171596</v>
      </c>
      <c r="AP117">
        <v>152</v>
      </c>
      <c r="AQ117" s="5">
        <f>AP117/AP121</f>
        <v>0.4887459807073955</v>
      </c>
      <c r="AR117" s="5">
        <f>152/$AR$3</f>
        <v>0.4887459807073955</v>
      </c>
      <c r="AT117">
        <v>176</v>
      </c>
      <c r="AU117" s="5">
        <f>AT117/AT121</f>
        <v>0.45128205128205129</v>
      </c>
      <c r="AV117" s="5">
        <f>176/$AV$3</f>
        <v>0.45128205128205129</v>
      </c>
      <c r="AX117">
        <v>68</v>
      </c>
      <c r="AY117" s="5">
        <f>AX117/AX121</f>
        <v>0.52307692307692311</v>
      </c>
      <c r="AZ117" s="5">
        <f>68/$AZ$3</f>
        <v>0.52307692307692311</v>
      </c>
      <c r="BB117">
        <v>207</v>
      </c>
      <c r="BC117" s="5">
        <f>BB117/BB121</f>
        <v>0.50985221674876846</v>
      </c>
      <c r="BD117" s="5">
        <f>207/$BD$3</f>
        <v>0.50985221674876846</v>
      </c>
      <c r="BF117">
        <v>174</v>
      </c>
      <c r="BG117" s="5">
        <f>BF117/BF121</f>
        <v>0.46774193548387094</v>
      </c>
      <c r="BH117" s="5">
        <f>174/$BH$3</f>
        <v>0.46774193548387094</v>
      </c>
      <c r="BJ117">
        <v>97</v>
      </c>
      <c r="BK117" s="5">
        <f>BJ117/BJ121</f>
        <v>0.43693693693693691</v>
      </c>
      <c r="BL117" s="5">
        <f>97/$BL$3</f>
        <v>0.43693693693693691</v>
      </c>
      <c r="BN117">
        <v>188</v>
      </c>
      <c r="BO117" s="5">
        <f>BN117/BN121</f>
        <v>0.49473684210526314</v>
      </c>
      <c r="BP117" s="5">
        <f>188/$BP$3</f>
        <v>0.49473684210526314</v>
      </c>
      <c r="BR117">
        <v>171</v>
      </c>
      <c r="BS117" s="5">
        <f>BR117/BR121</f>
        <v>0.46216216216216216</v>
      </c>
      <c r="BT117" s="5">
        <f>171/$BT$3</f>
        <v>0.46216216216216216</v>
      </c>
      <c r="BV117">
        <v>119</v>
      </c>
      <c r="BW117" s="5">
        <f>BV117/BV121</f>
        <v>0.47599999999999998</v>
      </c>
      <c r="BX117" s="5">
        <f>119/$BX$3</f>
        <v>0.47599999999999998</v>
      </c>
      <c r="BZ117">
        <v>127</v>
      </c>
      <c r="CA117" s="5">
        <f>BZ117/BZ121</f>
        <v>0.50800000000000001</v>
      </c>
      <c r="CB117" s="5">
        <f>127/$CB$3</f>
        <v>0.50800000000000001</v>
      </c>
      <c r="CD117">
        <v>104</v>
      </c>
      <c r="CE117" s="5">
        <f>CD117/CD121</f>
        <v>0.49523809523809526</v>
      </c>
      <c r="CF117" s="5">
        <f>104/$CF$3</f>
        <v>0.49523809523809526</v>
      </c>
      <c r="CH117">
        <v>101</v>
      </c>
      <c r="CI117" s="5">
        <f>CH117/CH121</f>
        <v>0.45909090909090911</v>
      </c>
      <c r="CJ117" s="5">
        <f>101/$CJ$3</f>
        <v>0.45909090909090911</v>
      </c>
      <c r="CL117">
        <v>146</v>
      </c>
      <c r="CM117" s="5">
        <f>CL117/CL121</f>
        <v>0.45624999999999999</v>
      </c>
      <c r="CN117" s="5">
        <f>146/$CN$3</f>
        <v>0.45624999999999999</v>
      </c>
    </row>
    <row r="118" spans="1:92" x14ac:dyDescent="0.25">
      <c r="A118" s="1" t="s">
        <v>208</v>
      </c>
      <c r="B118">
        <v>40</v>
      </c>
      <c r="C118" s="5">
        <f>B118/B121</f>
        <v>0.04</v>
      </c>
      <c r="D118" s="5">
        <f>40/$D$3</f>
        <v>0.04</v>
      </c>
      <c r="F118">
        <v>15</v>
      </c>
      <c r="G118" s="5">
        <f>F118/F121</f>
        <v>3.1779661016949151E-2</v>
      </c>
      <c r="H118" s="5">
        <f>15/$H$3</f>
        <v>3.1779661016949151E-2</v>
      </c>
      <c r="J118">
        <v>9</v>
      </c>
      <c r="K118" s="5">
        <f>J118/J121</f>
        <v>3.1578947368421054E-2</v>
      </c>
      <c r="L118" s="5">
        <f>9/$L$3</f>
        <v>3.1578947368421054E-2</v>
      </c>
      <c r="N118">
        <v>6</v>
      </c>
      <c r="O118" s="5">
        <f>N118/N121</f>
        <v>2.5862068965517241E-2</v>
      </c>
      <c r="P118" s="5">
        <f>6/$P$3</f>
        <v>2.5862068965517241E-2</v>
      </c>
      <c r="R118">
        <v>8</v>
      </c>
      <c r="S118" s="5">
        <f>R118/R121</f>
        <v>2.7210884353741496E-2</v>
      </c>
      <c r="T118" s="5">
        <f>8/$T$3</f>
        <v>2.7210884353741496E-2</v>
      </c>
      <c r="V118">
        <v>13</v>
      </c>
      <c r="W118" s="5">
        <f>V118/V121</f>
        <v>3.125E-2</v>
      </c>
      <c r="X118" s="5">
        <f>13/$X$3</f>
        <v>3.125E-2</v>
      </c>
      <c r="Z118">
        <v>14</v>
      </c>
      <c r="AA118" s="5">
        <f>Z118/Z121</f>
        <v>3.3333333333333333E-2</v>
      </c>
      <c r="AB118" s="5">
        <f>14/$AB$3</f>
        <v>3.3333333333333333E-2</v>
      </c>
      <c r="AD118">
        <v>19</v>
      </c>
      <c r="AE118" s="5">
        <f>AD118/AD121</f>
        <v>3.7999999999999999E-2</v>
      </c>
      <c r="AF118" s="5">
        <f>19/$AF$3</f>
        <v>3.7999999999999999E-2</v>
      </c>
      <c r="AH118">
        <v>21</v>
      </c>
      <c r="AI118" s="5">
        <f>AH118/AH121</f>
        <v>4.2000000000000003E-2</v>
      </c>
      <c r="AJ118" s="5">
        <f>21/$AJ$3</f>
        <v>4.2000000000000003E-2</v>
      </c>
      <c r="AL118">
        <v>8</v>
      </c>
      <c r="AM118" s="5">
        <f>AL118/AL121</f>
        <v>4.7337278106508875E-2</v>
      </c>
      <c r="AN118" s="5">
        <f>8/$AN$3</f>
        <v>4.7337278106508875E-2</v>
      </c>
      <c r="AP118">
        <v>10</v>
      </c>
      <c r="AQ118" s="5">
        <f>AP118/AP121</f>
        <v>3.215434083601286E-2</v>
      </c>
      <c r="AR118" s="5">
        <f>10/$AR$3</f>
        <v>3.215434083601286E-2</v>
      </c>
      <c r="AT118">
        <v>19</v>
      </c>
      <c r="AU118" s="5">
        <f>AT118/AT121</f>
        <v>4.8717948717948718E-2</v>
      </c>
      <c r="AV118" s="5">
        <f>19/$AV$3</f>
        <v>4.8717948717948718E-2</v>
      </c>
      <c r="AX118">
        <v>3</v>
      </c>
      <c r="AY118" s="5">
        <f>AX118/AX121</f>
        <v>2.3076923076923078E-2</v>
      </c>
      <c r="AZ118" s="5">
        <f>3/$AZ$3</f>
        <v>2.3076923076923078E-2</v>
      </c>
      <c r="BB118">
        <v>16</v>
      </c>
      <c r="BC118" s="5">
        <f>BB118/BB121</f>
        <v>3.9408866995073892E-2</v>
      </c>
      <c r="BD118" s="5">
        <f>16/$BD$3</f>
        <v>3.9408866995073892E-2</v>
      </c>
      <c r="BF118">
        <v>18</v>
      </c>
      <c r="BG118" s="5">
        <f>BF118/BF121</f>
        <v>4.8387096774193547E-2</v>
      </c>
      <c r="BH118" s="5">
        <f>18/$BH$3</f>
        <v>4.8387096774193547E-2</v>
      </c>
      <c r="BJ118">
        <v>6</v>
      </c>
      <c r="BK118" s="5">
        <f>BJ118/BJ121</f>
        <v>2.7027027027027029E-2</v>
      </c>
      <c r="BL118" s="5">
        <f>6/$BL$3</f>
        <v>2.7027027027027029E-2</v>
      </c>
      <c r="BN118">
        <v>17</v>
      </c>
      <c r="BO118" s="5">
        <f>BN118/BN121</f>
        <v>4.4736842105263158E-2</v>
      </c>
      <c r="BP118" s="5">
        <f>17/$BP$3</f>
        <v>4.4736842105263158E-2</v>
      </c>
      <c r="BR118">
        <v>16</v>
      </c>
      <c r="BS118" s="5">
        <f>BR118/BR121</f>
        <v>4.3243243243243246E-2</v>
      </c>
      <c r="BT118" s="5">
        <f>16/$BT$3</f>
        <v>4.3243243243243246E-2</v>
      </c>
      <c r="BV118">
        <v>7</v>
      </c>
      <c r="BW118" s="5">
        <f>BV118/BV121</f>
        <v>2.8000000000000001E-2</v>
      </c>
      <c r="BX118" s="5">
        <f>7/$BX$3</f>
        <v>2.8000000000000001E-2</v>
      </c>
      <c r="BZ118">
        <v>11</v>
      </c>
      <c r="CA118" s="5">
        <f>BZ118/BZ121</f>
        <v>4.3999999999999997E-2</v>
      </c>
      <c r="CB118" s="5">
        <f>11/$CB$3</f>
        <v>4.3999999999999997E-2</v>
      </c>
      <c r="CD118">
        <v>4</v>
      </c>
      <c r="CE118" s="5">
        <f>CD118/CD121</f>
        <v>1.9047619047619049E-2</v>
      </c>
      <c r="CF118" s="5">
        <f>4/$CF$3</f>
        <v>1.9047619047619049E-2</v>
      </c>
      <c r="CH118">
        <v>10</v>
      </c>
      <c r="CI118" s="5">
        <f>CH118/CH121</f>
        <v>4.5454545454545456E-2</v>
      </c>
      <c r="CJ118" s="5">
        <f>10/$CJ$3</f>
        <v>4.5454545454545456E-2</v>
      </c>
      <c r="CL118">
        <v>15</v>
      </c>
      <c r="CM118" s="5">
        <f>CL118/CL121</f>
        <v>4.6875E-2</v>
      </c>
      <c r="CN118" s="5">
        <f>15/$CN$3</f>
        <v>4.6875E-2</v>
      </c>
    </row>
    <row r="119" spans="1:92" x14ac:dyDescent="0.25">
      <c r="A119" s="1" t="s">
        <v>226</v>
      </c>
      <c r="B119">
        <v>26</v>
      </c>
      <c r="C119" s="5">
        <f>B119/B121</f>
        <v>2.5999999999999999E-2</v>
      </c>
      <c r="D119" s="5">
        <f>26/$D$3</f>
        <v>2.5999999999999999E-2</v>
      </c>
      <c r="F119">
        <v>7</v>
      </c>
      <c r="G119" s="5">
        <f>F119/F121</f>
        <v>1.4830508474576272E-2</v>
      </c>
      <c r="H119" s="5">
        <f>7/$H$3</f>
        <v>1.4830508474576272E-2</v>
      </c>
      <c r="J119">
        <v>4</v>
      </c>
      <c r="K119" s="5">
        <f>J119/J121</f>
        <v>1.4035087719298246E-2</v>
      </c>
      <c r="L119" s="5">
        <f>4/$L$3</f>
        <v>1.4035087719298246E-2</v>
      </c>
      <c r="N119">
        <v>3</v>
      </c>
      <c r="O119" s="5">
        <f>N119/N121</f>
        <v>1.2931034482758621E-2</v>
      </c>
      <c r="P119" s="5">
        <f>3/$P$3</f>
        <v>1.2931034482758621E-2</v>
      </c>
      <c r="R119">
        <v>1</v>
      </c>
      <c r="S119" s="5">
        <f>R119/R121</f>
        <v>3.4013605442176869E-3</v>
      </c>
      <c r="T119" s="5">
        <f>1/$T$3</f>
        <v>3.4013605442176869E-3</v>
      </c>
      <c r="V119">
        <v>6</v>
      </c>
      <c r="W119" s="5">
        <f>V119/V121</f>
        <v>1.4423076923076924E-2</v>
      </c>
      <c r="X119" s="5">
        <f>6/$X$3</f>
        <v>1.4423076923076924E-2</v>
      </c>
      <c r="Z119">
        <v>4</v>
      </c>
      <c r="AA119" s="5">
        <f>Z119/Z121</f>
        <v>9.5238095238095247E-3</v>
      </c>
      <c r="AB119" s="5">
        <f>4/$AB$3</f>
        <v>9.5238095238095247E-3</v>
      </c>
      <c r="AD119">
        <v>15</v>
      </c>
      <c r="AE119" s="5">
        <f>AD119/AD121</f>
        <v>0.03</v>
      </c>
      <c r="AF119" s="5">
        <f>15/$AF$3</f>
        <v>0.03</v>
      </c>
      <c r="AH119">
        <v>11</v>
      </c>
      <c r="AI119" s="5">
        <f>AH119/AH121</f>
        <v>2.1999999999999999E-2</v>
      </c>
      <c r="AJ119" s="5">
        <f>11/$AJ$3</f>
        <v>2.1999999999999999E-2</v>
      </c>
      <c r="AL119">
        <v>6</v>
      </c>
      <c r="AM119" s="5">
        <f>AL119/AL121</f>
        <v>3.5502958579881658E-2</v>
      </c>
      <c r="AN119" s="5">
        <f>6/$AN$3</f>
        <v>3.5502958579881658E-2</v>
      </c>
      <c r="AP119">
        <v>7</v>
      </c>
      <c r="AQ119" s="5">
        <f>AP119/AP121</f>
        <v>2.2508038585209004E-2</v>
      </c>
      <c r="AR119" s="5">
        <f>7/$AR$3</f>
        <v>2.2508038585209004E-2</v>
      </c>
      <c r="AT119">
        <v>10</v>
      </c>
      <c r="AU119" s="5">
        <f>AT119/AT121</f>
        <v>2.564102564102564E-2</v>
      </c>
      <c r="AV119" s="5">
        <f>10/$AV$3</f>
        <v>2.564102564102564E-2</v>
      </c>
      <c r="AX119">
        <v>3</v>
      </c>
      <c r="AY119" s="5">
        <f>AX119/AX121</f>
        <v>2.3076923076923078E-2</v>
      </c>
      <c r="AZ119" s="5">
        <f>3/$AZ$3</f>
        <v>2.3076923076923078E-2</v>
      </c>
      <c r="BB119">
        <v>14</v>
      </c>
      <c r="BC119" s="5">
        <f>BB119/BB121</f>
        <v>3.4482758620689655E-2</v>
      </c>
      <c r="BD119" s="5">
        <f>14/$BD$3</f>
        <v>3.4482758620689655E-2</v>
      </c>
      <c r="BF119">
        <v>8</v>
      </c>
      <c r="BG119" s="5">
        <f>BF119/BF121</f>
        <v>2.1505376344086023E-2</v>
      </c>
      <c r="BH119" s="5">
        <f>8/$BH$3</f>
        <v>2.1505376344086023E-2</v>
      </c>
      <c r="BJ119">
        <v>4</v>
      </c>
      <c r="BK119" s="5">
        <f>BJ119/BJ121</f>
        <v>1.8018018018018018E-2</v>
      </c>
      <c r="BL119" s="5">
        <f>4/$BL$3</f>
        <v>1.8018018018018018E-2</v>
      </c>
      <c r="BN119">
        <v>11</v>
      </c>
      <c r="BO119" s="5">
        <f>BN119/BN121</f>
        <v>2.8947368421052631E-2</v>
      </c>
      <c r="BP119" s="5">
        <f>11/$BP$3</f>
        <v>2.8947368421052631E-2</v>
      </c>
      <c r="BR119">
        <v>7</v>
      </c>
      <c r="BS119" s="5">
        <f>BR119/BR121</f>
        <v>1.891891891891892E-2</v>
      </c>
      <c r="BT119" s="5">
        <f>7/$BT$3</f>
        <v>1.891891891891892E-2</v>
      </c>
      <c r="BV119">
        <v>8</v>
      </c>
      <c r="BW119" s="5">
        <f>BV119/BV121</f>
        <v>3.2000000000000001E-2</v>
      </c>
      <c r="BX119" s="5">
        <f>8/$BX$3</f>
        <v>3.2000000000000001E-2</v>
      </c>
      <c r="BZ119">
        <v>1</v>
      </c>
      <c r="CA119" s="5">
        <f>BZ119/BZ121</f>
        <v>4.0000000000000001E-3</v>
      </c>
      <c r="CB119" s="5">
        <f>1/$CB$3</f>
        <v>4.0000000000000001E-3</v>
      </c>
      <c r="CD119">
        <v>5</v>
      </c>
      <c r="CE119" s="5">
        <f>CD119/CD121</f>
        <v>2.3809523809523808E-2</v>
      </c>
      <c r="CF119" s="5">
        <f>5/$CF$3</f>
        <v>2.3809523809523808E-2</v>
      </c>
      <c r="CH119">
        <v>8</v>
      </c>
      <c r="CI119" s="5">
        <f>CH119/CH121</f>
        <v>3.6363636363636362E-2</v>
      </c>
      <c r="CJ119" s="5">
        <f>8/$CJ$3</f>
        <v>3.6363636363636362E-2</v>
      </c>
      <c r="CL119">
        <v>12</v>
      </c>
      <c r="CM119" s="5">
        <f>CL119/CL121</f>
        <v>3.7499999999999999E-2</v>
      </c>
      <c r="CN119" s="5">
        <f>12/$CN$3</f>
        <v>3.7499999999999999E-2</v>
      </c>
    </row>
    <row r="120" spans="1:92" x14ac:dyDescent="0.25">
      <c r="A120" s="1" t="s">
        <v>12</v>
      </c>
      <c r="B120">
        <v>0</v>
      </c>
      <c r="C120" s="5">
        <f>B120/B121</f>
        <v>0</v>
      </c>
      <c r="D120" s="5">
        <f>0/$D$3</f>
        <v>0</v>
      </c>
      <c r="F120">
        <v>0</v>
      </c>
      <c r="G120" s="5">
        <f>F120/F121</f>
        <v>0</v>
      </c>
      <c r="H120" s="5">
        <f>0/$H$3</f>
        <v>0</v>
      </c>
      <c r="J120">
        <v>0</v>
      </c>
      <c r="K120" s="5">
        <f>J120/J121</f>
        <v>0</v>
      </c>
      <c r="L120" s="5">
        <f>0/$L$3</f>
        <v>0</v>
      </c>
      <c r="N120">
        <v>0</v>
      </c>
      <c r="O120" s="5">
        <f>N120/N121</f>
        <v>0</v>
      </c>
      <c r="P120" s="5">
        <f>0/$P$3</f>
        <v>0</v>
      </c>
      <c r="R120">
        <v>0</v>
      </c>
      <c r="S120" s="5">
        <f>R120/R121</f>
        <v>0</v>
      </c>
      <c r="T120" s="5">
        <f>0/$T$3</f>
        <v>0</v>
      </c>
      <c r="V120">
        <v>0</v>
      </c>
      <c r="W120" s="5">
        <f>V120/V121</f>
        <v>0</v>
      </c>
      <c r="X120" s="5">
        <f>0/$X$3</f>
        <v>0</v>
      </c>
      <c r="Z120">
        <v>0</v>
      </c>
      <c r="AA120" s="5">
        <f>Z120/Z121</f>
        <v>0</v>
      </c>
      <c r="AB120" s="5">
        <f>0/$AB$3</f>
        <v>0</v>
      </c>
      <c r="AD120">
        <v>0</v>
      </c>
      <c r="AE120" s="5">
        <f>AD120/AD121</f>
        <v>0</v>
      </c>
      <c r="AF120" s="5">
        <f>0/$AF$3</f>
        <v>0</v>
      </c>
      <c r="AH120">
        <v>0</v>
      </c>
      <c r="AI120" s="5">
        <f>AH120/AH121</f>
        <v>0</v>
      </c>
      <c r="AJ120" s="5">
        <f>0/$AJ$3</f>
        <v>0</v>
      </c>
      <c r="AL120">
        <v>0</v>
      </c>
      <c r="AM120" s="5">
        <f>AL120/AL121</f>
        <v>0</v>
      </c>
      <c r="AN120" s="5">
        <f>0/$AN$3</f>
        <v>0</v>
      </c>
      <c r="AP120">
        <v>0</v>
      </c>
      <c r="AQ120" s="5">
        <f>AP120/AP121</f>
        <v>0</v>
      </c>
      <c r="AR120" s="5">
        <f>0/$AR$3</f>
        <v>0</v>
      </c>
      <c r="AT120">
        <v>0</v>
      </c>
      <c r="AU120" s="5">
        <f>AT120/AT121</f>
        <v>0</v>
      </c>
      <c r="AV120" s="5">
        <f>0/$AV$3</f>
        <v>0</v>
      </c>
      <c r="AX120">
        <v>0</v>
      </c>
      <c r="AY120" s="5">
        <f>AX120/AX121</f>
        <v>0</v>
      </c>
      <c r="AZ120" s="5">
        <f>0/$AZ$3</f>
        <v>0</v>
      </c>
      <c r="BB120">
        <v>0</v>
      </c>
      <c r="BC120" s="5">
        <f>BB120/BB121</f>
        <v>0</v>
      </c>
      <c r="BD120" s="5">
        <f>0/$BD$3</f>
        <v>0</v>
      </c>
      <c r="BF120">
        <v>0</v>
      </c>
      <c r="BG120" s="5">
        <f>BF120/BF121</f>
        <v>0</v>
      </c>
      <c r="BH120" s="5">
        <f>0/$BH$3</f>
        <v>0</v>
      </c>
      <c r="BJ120">
        <v>0</v>
      </c>
      <c r="BK120" s="5">
        <f>BJ120/BJ121</f>
        <v>0</v>
      </c>
      <c r="BL120" s="5">
        <f>0/$BL$3</f>
        <v>0</v>
      </c>
      <c r="BN120">
        <v>0</v>
      </c>
      <c r="BO120" s="5">
        <f>BN120/BN121</f>
        <v>0</v>
      </c>
      <c r="BP120" s="5">
        <f>0/$BP$3</f>
        <v>0</v>
      </c>
      <c r="BR120">
        <v>0</v>
      </c>
      <c r="BS120" s="5">
        <f>BR120/BR121</f>
        <v>0</v>
      </c>
      <c r="BT120" s="5">
        <f>0/$BT$3</f>
        <v>0</v>
      </c>
      <c r="BV120">
        <v>0</v>
      </c>
      <c r="BW120" s="5">
        <f>BV120/BV121</f>
        <v>0</v>
      </c>
      <c r="BX120" s="5">
        <f>0/$BX$3</f>
        <v>0</v>
      </c>
      <c r="BZ120">
        <v>0</v>
      </c>
      <c r="CA120" s="5">
        <f>BZ120/BZ121</f>
        <v>0</v>
      </c>
      <c r="CB120" s="5">
        <f>0/$CB$3</f>
        <v>0</v>
      </c>
      <c r="CD120">
        <v>0</v>
      </c>
      <c r="CE120" s="5">
        <f>CD120/CD121</f>
        <v>0</v>
      </c>
      <c r="CF120" s="5">
        <f>0/$CF$3</f>
        <v>0</v>
      </c>
      <c r="CH120">
        <v>0</v>
      </c>
      <c r="CI120" s="5">
        <f>CH120/CH121</f>
        <v>0</v>
      </c>
      <c r="CJ120" s="5">
        <f>0/$CJ$3</f>
        <v>0</v>
      </c>
      <c r="CL120">
        <v>0</v>
      </c>
      <c r="CM120" s="5">
        <f>CL120/CL121</f>
        <v>0</v>
      </c>
      <c r="CN120" s="5">
        <f>0/$CN$3</f>
        <v>0</v>
      </c>
    </row>
    <row r="121" spans="1:92" s="6" customFormat="1" x14ac:dyDescent="0.25">
      <c r="A121" s="7" t="s">
        <v>13</v>
      </c>
      <c r="B121" s="6">
        <v>1000</v>
      </c>
      <c r="F121" s="6">
        <v>472</v>
      </c>
      <c r="J121" s="6">
        <v>285</v>
      </c>
      <c r="N121" s="6">
        <v>232</v>
      </c>
      <c r="R121" s="6">
        <v>294</v>
      </c>
      <c r="V121" s="6">
        <v>416</v>
      </c>
      <c r="Z121" s="6">
        <v>420</v>
      </c>
      <c r="AD121" s="6">
        <v>500</v>
      </c>
      <c r="AH121" s="6">
        <v>500</v>
      </c>
      <c r="AL121" s="6">
        <v>169</v>
      </c>
      <c r="AP121" s="6">
        <v>311</v>
      </c>
      <c r="AT121" s="6">
        <v>390</v>
      </c>
      <c r="AX121" s="6">
        <v>130</v>
      </c>
      <c r="BB121" s="6">
        <v>406</v>
      </c>
      <c r="BF121" s="6">
        <v>372</v>
      </c>
      <c r="BJ121" s="6">
        <v>222</v>
      </c>
      <c r="BN121" s="6">
        <v>380</v>
      </c>
      <c r="BR121" s="6">
        <v>370</v>
      </c>
      <c r="BV121" s="6">
        <v>250</v>
      </c>
      <c r="BZ121" s="6">
        <v>250</v>
      </c>
      <c r="CD121" s="6">
        <v>210</v>
      </c>
      <c r="CH121" s="6">
        <v>220</v>
      </c>
      <c r="CL121" s="6">
        <v>320</v>
      </c>
    </row>
    <row r="122" spans="1:92" hidden="1" x14ac:dyDescent="0.25">
      <c r="A122" s="8" t="s">
        <v>14</v>
      </c>
      <c r="B122">
        <v>0</v>
      </c>
      <c r="F122">
        <v>0</v>
      </c>
      <c r="J122">
        <v>0</v>
      </c>
      <c r="N122">
        <v>0</v>
      </c>
      <c r="R122">
        <v>0</v>
      </c>
      <c r="V122">
        <v>0</v>
      </c>
      <c r="Z122">
        <v>0</v>
      </c>
      <c r="AD122">
        <v>0</v>
      </c>
      <c r="AH122">
        <v>0</v>
      </c>
      <c r="AL122">
        <v>0</v>
      </c>
      <c r="AP122">
        <v>0</v>
      </c>
      <c r="AT122">
        <v>0</v>
      </c>
      <c r="AX122">
        <v>0</v>
      </c>
      <c r="BB122">
        <v>0</v>
      </c>
      <c r="BF122">
        <v>0</v>
      </c>
      <c r="BJ122">
        <v>0</v>
      </c>
      <c r="BN122">
        <v>0</v>
      </c>
      <c r="BR122">
        <v>0</v>
      </c>
      <c r="BV122">
        <v>0</v>
      </c>
      <c r="BZ122">
        <v>0</v>
      </c>
      <c r="CD122">
        <v>0</v>
      </c>
      <c r="CH122">
        <v>0</v>
      </c>
      <c r="CL122">
        <v>0</v>
      </c>
    </row>
    <row r="123" spans="1:92" hidden="1" x14ac:dyDescent="0.25">
      <c r="A123" s="8" t="s">
        <v>15</v>
      </c>
      <c r="B123">
        <v>0</v>
      </c>
      <c r="F123">
        <v>0</v>
      </c>
      <c r="J123">
        <v>0</v>
      </c>
      <c r="N123">
        <v>0</v>
      </c>
      <c r="R123">
        <v>0</v>
      </c>
      <c r="V123">
        <v>0</v>
      </c>
      <c r="Z123">
        <v>0</v>
      </c>
      <c r="AD123">
        <v>0</v>
      </c>
      <c r="AH123">
        <v>0</v>
      </c>
      <c r="AL123">
        <v>0</v>
      </c>
      <c r="AP123">
        <v>0</v>
      </c>
      <c r="AT123">
        <v>0</v>
      </c>
      <c r="AX123">
        <v>0</v>
      </c>
      <c r="BB123">
        <v>0</v>
      </c>
      <c r="BF123">
        <v>0</v>
      </c>
      <c r="BJ123">
        <v>0</v>
      </c>
      <c r="BN123">
        <v>0</v>
      </c>
      <c r="BR123">
        <v>0</v>
      </c>
      <c r="BV123">
        <v>0</v>
      </c>
      <c r="BZ123">
        <v>0</v>
      </c>
      <c r="CD123">
        <v>0</v>
      </c>
      <c r="CH123">
        <v>0</v>
      </c>
      <c r="CL123">
        <v>0</v>
      </c>
    </row>
    <row r="125" spans="1:92" x14ac:dyDescent="0.25">
      <c r="AN125" s="2" t="s">
        <v>5</v>
      </c>
      <c r="AR125" s="2" t="s">
        <v>6</v>
      </c>
      <c r="AV125" s="2" t="s">
        <v>7</v>
      </c>
      <c r="AZ125" s="2" t="s">
        <v>8</v>
      </c>
      <c r="BD125" s="2" t="s">
        <v>5</v>
      </c>
      <c r="BH125" s="2" t="s">
        <v>6</v>
      </c>
      <c r="BL125" s="2" t="s">
        <v>7</v>
      </c>
      <c r="BP125" s="2" t="s">
        <v>5</v>
      </c>
      <c r="BT125" s="2" t="s">
        <v>6</v>
      </c>
      <c r="BX125" s="2" t="s">
        <v>7</v>
      </c>
      <c r="CB125" s="2" t="s">
        <v>5</v>
      </c>
      <c r="CF125" s="2" t="s">
        <v>6</v>
      </c>
      <c r="CJ125" s="2" t="s">
        <v>7</v>
      </c>
      <c r="CN125" s="2" t="s">
        <v>8</v>
      </c>
    </row>
    <row r="126" spans="1:92" s="3" customFormat="1" x14ac:dyDescent="0.25">
      <c r="A126" s="3" t="s">
        <v>568</v>
      </c>
      <c r="D126" s="4" t="s">
        <v>10</v>
      </c>
      <c r="H126" s="4" t="s">
        <v>10</v>
      </c>
      <c r="L126" s="4" t="s">
        <v>10</v>
      </c>
      <c r="P126" s="4" t="s">
        <v>10</v>
      </c>
      <c r="T126" s="4" t="s">
        <v>10</v>
      </c>
      <c r="X126" s="4" t="s">
        <v>10</v>
      </c>
      <c r="AB126" s="4" t="s">
        <v>10</v>
      </c>
      <c r="AF126" s="4" t="s">
        <v>10</v>
      </c>
      <c r="AJ126" s="4" t="s">
        <v>10</v>
      </c>
      <c r="AN126" s="4" t="s">
        <v>10</v>
      </c>
      <c r="AR126" s="4" t="s">
        <v>10</v>
      </c>
      <c r="AV126" s="4" t="s">
        <v>10</v>
      </c>
      <c r="AZ126" s="4" t="s">
        <v>10</v>
      </c>
      <c r="BD126" s="4" t="s">
        <v>10</v>
      </c>
      <c r="BH126" s="4" t="s">
        <v>10</v>
      </c>
      <c r="BL126" s="4" t="s">
        <v>10</v>
      </c>
      <c r="BP126" s="4" t="s">
        <v>10</v>
      </c>
      <c r="BT126" s="4" t="s">
        <v>10</v>
      </c>
      <c r="BX126" s="4" t="s">
        <v>10</v>
      </c>
      <c r="CB126" s="4" t="s">
        <v>10</v>
      </c>
      <c r="CF126" s="4" t="s">
        <v>10</v>
      </c>
      <c r="CJ126" s="4" t="s">
        <v>10</v>
      </c>
      <c r="CN126" s="4" t="s">
        <v>10</v>
      </c>
    </row>
    <row r="127" spans="1:92" x14ac:dyDescent="0.25">
      <c r="A127" s="1" t="s">
        <v>569</v>
      </c>
      <c r="B127">
        <v>32</v>
      </c>
      <c r="C127" s="5">
        <f>B127/B134</f>
        <v>3.2000000000000001E-2</v>
      </c>
      <c r="D127" s="5">
        <f>32/$D$3</f>
        <v>3.2000000000000001E-2</v>
      </c>
      <c r="F127">
        <v>18</v>
      </c>
      <c r="G127" s="5">
        <f>F127/F134</f>
        <v>3.8135593220338986E-2</v>
      </c>
      <c r="H127" s="5">
        <f>18/$H$3</f>
        <v>3.8135593220338986E-2</v>
      </c>
      <c r="J127">
        <v>14</v>
      </c>
      <c r="K127" s="5">
        <f>J127/J134</f>
        <v>4.912280701754386E-2</v>
      </c>
      <c r="L127" s="5">
        <f>14/$L$3</f>
        <v>4.912280701754386E-2</v>
      </c>
      <c r="N127">
        <v>10</v>
      </c>
      <c r="O127" s="5">
        <f>N127/N134</f>
        <v>4.3103448275862072E-2</v>
      </c>
      <c r="P127" s="5">
        <f>10/$P$3</f>
        <v>4.3103448275862072E-2</v>
      </c>
      <c r="R127">
        <v>11</v>
      </c>
      <c r="S127" s="5">
        <f>R127/R134</f>
        <v>3.7414965986394558E-2</v>
      </c>
      <c r="T127" s="5">
        <f>11/$T$3</f>
        <v>3.7414965986394558E-2</v>
      </c>
      <c r="V127">
        <v>17</v>
      </c>
      <c r="W127" s="5">
        <f>V127/V134</f>
        <v>4.0865384615384616E-2</v>
      </c>
      <c r="X127" s="5">
        <f>17/$X$3</f>
        <v>4.0865384615384616E-2</v>
      </c>
      <c r="Z127">
        <v>17</v>
      </c>
      <c r="AA127" s="5">
        <f>Z127/Z134</f>
        <v>4.0476190476190478E-2</v>
      </c>
      <c r="AB127" s="5">
        <f>17/$AB$3</f>
        <v>4.0476190476190478E-2</v>
      </c>
      <c r="AD127">
        <v>17</v>
      </c>
      <c r="AE127" s="5">
        <f>AD127/AD134</f>
        <v>3.4000000000000002E-2</v>
      </c>
      <c r="AF127" s="5">
        <f>17/$AF$3</f>
        <v>3.4000000000000002E-2</v>
      </c>
      <c r="AH127">
        <v>15</v>
      </c>
      <c r="AI127" s="5">
        <f>AH127/AH134</f>
        <v>0.03</v>
      </c>
      <c r="AJ127" s="5">
        <f>15/$AJ$3</f>
        <v>0.03</v>
      </c>
      <c r="AL127">
        <v>5</v>
      </c>
      <c r="AM127" s="5">
        <f>AL127/AL134</f>
        <v>2.9585798816568046E-2</v>
      </c>
      <c r="AN127" s="5">
        <f>5/$AN$3</f>
        <v>2.9585798816568046E-2</v>
      </c>
      <c r="AP127">
        <v>14</v>
      </c>
      <c r="AQ127" s="5">
        <f>AP127/AP134</f>
        <v>4.5016077170418008E-2</v>
      </c>
      <c r="AR127" s="5">
        <f>14/$AR$3</f>
        <v>4.5016077170418008E-2</v>
      </c>
      <c r="AT127">
        <v>10</v>
      </c>
      <c r="AU127" s="5">
        <f>AT127/AT134</f>
        <v>2.564102564102564E-2</v>
      </c>
      <c r="AV127" s="5">
        <f>10/$AV$3</f>
        <v>2.564102564102564E-2</v>
      </c>
      <c r="AX127">
        <v>3</v>
      </c>
      <c r="AY127" s="5">
        <f>AX127/AX134</f>
        <v>2.3076923076923078E-2</v>
      </c>
      <c r="AZ127" s="5">
        <f>3/$AZ$3</f>
        <v>2.3076923076923078E-2</v>
      </c>
      <c r="BB127">
        <v>14</v>
      </c>
      <c r="BC127" s="5">
        <f>BB127/BB134</f>
        <v>3.4482758620689655E-2</v>
      </c>
      <c r="BD127" s="5">
        <f>14/$BD$3</f>
        <v>3.4482758620689655E-2</v>
      </c>
      <c r="BF127">
        <v>13</v>
      </c>
      <c r="BG127" s="5">
        <f>BF127/BF134</f>
        <v>3.4946236559139782E-2</v>
      </c>
      <c r="BH127" s="5">
        <f>13/$BH$3</f>
        <v>3.4946236559139782E-2</v>
      </c>
      <c r="BJ127">
        <v>5</v>
      </c>
      <c r="BK127" s="5">
        <f>BJ127/BJ134</f>
        <v>2.2522522522522521E-2</v>
      </c>
      <c r="BL127" s="5">
        <f>5/$BL$3</f>
        <v>2.2522522522522521E-2</v>
      </c>
      <c r="BN127">
        <v>17</v>
      </c>
      <c r="BO127" s="5">
        <f>BN127/BN134</f>
        <v>4.4736842105263158E-2</v>
      </c>
      <c r="BP127" s="5">
        <f>17/$BP$3</f>
        <v>4.4736842105263158E-2</v>
      </c>
      <c r="BR127">
        <v>9</v>
      </c>
      <c r="BS127" s="5">
        <f>BR127/BR134</f>
        <v>2.4324324324324326E-2</v>
      </c>
      <c r="BT127" s="5">
        <f>9/$BT$3</f>
        <v>2.4324324324324326E-2</v>
      </c>
      <c r="BV127">
        <v>6</v>
      </c>
      <c r="BW127" s="5">
        <f>BV127/BV134</f>
        <v>2.4E-2</v>
      </c>
      <c r="BX127" s="5">
        <f>6/$BX$3</f>
        <v>2.4E-2</v>
      </c>
      <c r="BZ127">
        <v>8</v>
      </c>
      <c r="CA127" s="5">
        <f>BZ127/BZ134</f>
        <v>3.2000000000000001E-2</v>
      </c>
      <c r="CB127" s="5">
        <f>8/$CB$3</f>
        <v>3.2000000000000001E-2</v>
      </c>
      <c r="CD127">
        <v>8</v>
      </c>
      <c r="CE127" s="5">
        <f>CD127/CD134</f>
        <v>3.8095238095238099E-2</v>
      </c>
      <c r="CF127" s="5">
        <f>8/$CF$3</f>
        <v>3.8095238095238099E-2</v>
      </c>
      <c r="CH127">
        <v>8</v>
      </c>
      <c r="CI127" s="5">
        <f>CH127/CH134</f>
        <v>3.6363636363636362E-2</v>
      </c>
      <c r="CJ127" s="5">
        <f>8/$CJ$3</f>
        <v>3.6363636363636362E-2</v>
      </c>
      <c r="CL127">
        <v>8</v>
      </c>
      <c r="CM127" s="5">
        <f>CL127/CL134</f>
        <v>2.5000000000000001E-2</v>
      </c>
      <c r="CN127" s="5">
        <f>8/$CN$3</f>
        <v>2.5000000000000001E-2</v>
      </c>
    </row>
    <row r="128" spans="1:92" x14ac:dyDescent="0.25">
      <c r="A128" s="1" t="s">
        <v>570</v>
      </c>
      <c r="B128">
        <v>191</v>
      </c>
      <c r="C128" s="5">
        <f>B128/B134</f>
        <v>0.191</v>
      </c>
      <c r="D128" s="5">
        <f>191/$D$3</f>
        <v>0.191</v>
      </c>
      <c r="F128">
        <v>117</v>
      </c>
      <c r="G128" s="5">
        <f>F128/F134</f>
        <v>0.2478813559322034</v>
      </c>
      <c r="H128" s="10">
        <f>117/$H$3</f>
        <v>0.2478813559322034</v>
      </c>
      <c r="J128">
        <v>83</v>
      </c>
      <c r="K128" s="5">
        <f>J128/J134</f>
        <v>0.29122807017543861</v>
      </c>
      <c r="L128" s="10">
        <f>83/$L$3</f>
        <v>0.29122807017543861</v>
      </c>
      <c r="N128">
        <v>72</v>
      </c>
      <c r="O128" s="5">
        <f>N128/N134</f>
        <v>0.31034482758620691</v>
      </c>
      <c r="P128" s="10">
        <f>72/$P$3</f>
        <v>0.31034482758620691</v>
      </c>
      <c r="R128">
        <v>93</v>
      </c>
      <c r="S128" s="5">
        <f>R128/R134</f>
        <v>0.31632653061224492</v>
      </c>
      <c r="T128" s="10">
        <f>93/$T$3</f>
        <v>0.31632653061224492</v>
      </c>
      <c r="V128">
        <v>110</v>
      </c>
      <c r="W128" s="5">
        <f>V128/V134</f>
        <v>0.26442307692307693</v>
      </c>
      <c r="X128" s="10">
        <f>110/$X$3</f>
        <v>0.26442307692307693</v>
      </c>
      <c r="Z128">
        <v>115</v>
      </c>
      <c r="AA128" s="5">
        <f>Z128/Z134</f>
        <v>0.27380952380952384</v>
      </c>
      <c r="AB128" s="10">
        <f>115/$AB$3</f>
        <v>0.27380952380952384</v>
      </c>
      <c r="AD128">
        <v>119</v>
      </c>
      <c r="AE128" s="5">
        <f>AD128/AD134</f>
        <v>0.23799999999999999</v>
      </c>
      <c r="AF128" s="5">
        <f>119/$AF$3</f>
        <v>0.23799999999999999</v>
      </c>
      <c r="AH128">
        <v>72</v>
      </c>
      <c r="AI128" s="5">
        <f>AH128/AH134</f>
        <v>0.14399999999999999</v>
      </c>
      <c r="AJ128" s="5">
        <f>72/$AJ$3</f>
        <v>0.14399999999999999</v>
      </c>
      <c r="AL128">
        <v>34</v>
      </c>
      <c r="AM128" s="5">
        <f>AL128/AL134</f>
        <v>0.20118343195266272</v>
      </c>
      <c r="AN128" s="5">
        <f>34/$AN$3</f>
        <v>0.20118343195266272</v>
      </c>
      <c r="AP128">
        <v>62</v>
      </c>
      <c r="AQ128" s="5">
        <f>AP128/AP134</f>
        <v>0.19935691318327975</v>
      </c>
      <c r="AR128" s="5">
        <f>62/$AR$3</f>
        <v>0.19935691318327975</v>
      </c>
      <c r="AT128">
        <v>76</v>
      </c>
      <c r="AU128" s="5">
        <f>AT128/AT134</f>
        <v>0.19487179487179487</v>
      </c>
      <c r="AV128" s="5">
        <f>76/$AV$3</f>
        <v>0.19487179487179487</v>
      </c>
      <c r="AX128">
        <v>19</v>
      </c>
      <c r="AY128" s="5">
        <f>AX128/AX134</f>
        <v>0.14615384615384616</v>
      </c>
      <c r="AZ128" s="5">
        <f>19/$AZ$3</f>
        <v>0.14615384615384616</v>
      </c>
      <c r="BB128">
        <v>70</v>
      </c>
      <c r="BC128" s="5">
        <f>BB128/BB134</f>
        <v>0.17241379310344829</v>
      </c>
      <c r="BD128" s="5">
        <f>70/$BD$3</f>
        <v>0.17241379310344829</v>
      </c>
      <c r="BF128">
        <v>66</v>
      </c>
      <c r="BG128" s="5">
        <f>BF128/BF134</f>
        <v>0.17741935483870969</v>
      </c>
      <c r="BH128" s="5">
        <f>66/$BH$3</f>
        <v>0.17741935483870969</v>
      </c>
      <c r="BJ128">
        <v>55</v>
      </c>
      <c r="BK128" s="5">
        <f>BJ128/BJ134</f>
        <v>0.24774774774774774</v>
      </c>
      <c r="BL128" s="10">
        <f>55/$BL$3</f>
        <v>0.24774774774774774</v>
      </c>
      <c r="BN128">
        <v>64</v>
      </c>
      <c r="BO128" s="5">
        <f>BN128/BN134</f>
        <v>0.16842105263157894</v>
      </c>
      <c r="BP128" s="5">
        <f>64/$BP$3</f>
        <v>0.16842105263157894</v>
      </c>
      <c r="BR128">
        <v>79</v>
      </c>
      <c r="BS128" s="5">
        <f>BR128/BR134</f>
        <v>0.21351351351351353</v>
      </c>
      <c r="BT128" s="5">
        <f>79/$BT$3</f>
        <v>0.21351351351351353</v>
      </c>
      <c r="BV128">
        <v>48</v>
      </c>
      <c r="BW128" s="5">
        <f>BV128/BV134</f>
        <v>0.192</v>
      </c>
      <c r="BX128" s="5">
        <f>48/$BX$3</f>
        <v>0.192</v>
      </c>
      <c r="BZ128">
        <v>45</v>
      </c>
      <c r="CA128" s="5">
        <f>BZ128/BZ134</f>
        <v>0.18</v>
      </c>
      <c r="CB128" s="5">
        <f>45/$CB$3</f>
        <v>0.18</v>
      </c>
      <c r="CD128">
        <v>35</v>
      </c>
      <c r="CE128" s="5">
        <f>CD128/CD134</f>
        <v>0.16666666666666666</v>
      </c>
      <c r="CF128" s="5">
        <f>35/$CF$3</f>
        <v>0.16666666666666666</v>
      </c>
      <c r="CH128">
        <v>46</v>
      </c>
      <c r="CI128" s="5">
        <f>CH128/CH134</f>
        <v>0.20909090909090908</v>
      </c>
      <c r="CJ128" s="5">
        <f>46/$CJ$3</f>
        <v>0.20909090909090908</v>
      </c>
      <c r="CL128">
        <v>65</v>
      </c>
      <c r="CM128" s="5">
        <f>CL128/CL134</f>
        <v>0.203125</v>
      </c>
      <c r="CN128" s="5">
        <f>65/$CN$3</f>
        <v>0.203125</v>
      </c>
    </row>
    <row r="129" spans="1:92" x14ac:dyDescent="0.25">
      <c r="A129" s="1" t="s">
        <v>571</v>
      </c>
      <c r="B129">
        <v>164</v>
      </c>
      <c r="C129" s="5">
        <f>B129/B134</f>
        <v>0.16400000000000001</v>
      </c>
      <c r="D129" s="5">
        <f>164/$D$3</f>
        <v>0.16400000000000001</v>
      </c>
      <c r="F129">
        <v>97</v>
      </c>
      <c r="G129" s="5">
        <f>F129/F134</f>
        <v>0.20550847457627119</v>
      </c>
      <c r="H129" s="5">
        <f>97/$H$3</f>
        <v>0.20550847457627119</v>
      </c>
      <c r="J129">
        <v>67</v>
      </c>
      <c r="K129" s="5">
        <f>J129/J134</f>
        <v>0.23508771929824562</v>
      </c>
      <c r="L129" s="10">
        <f>67/$L$3</f>
        <v>0.23508771929824562</v>
      </c>
      <c r="N129">
        <v>59</v>
      </c>
      <c r="O129" s="5">
        <f>N129/N134</f>
        <v>0.25431034482758619</v>
      </c>
      <c r="P129" s="10">
        <f>59/$P$3</f>
        <v>0.25431034482758619</v>
      </c>
      <c r="R129">
        <v>76</v>
      </c>
      <c r="S129" s="5">
        <f>R129/R134</f>
        <v>0.25850340136054423</v>
      </c>
      <c r="T129" s="10">
        <f>76/$T$3</f>
        <v>0.25850340136054423</v>
      </c>
      <c r="V129">
        <v>90</v>
      </c>
      <c r="W129" s="5">
        <f>V129/V134</f>
        <v>0.21634615384615385</v>
      </c>
      <c r="X129" s="10">
        <f>90/$X$3</f>
        <v>0.21634615384615385</v>
      </c>
      <c r="Z129">
        <v>95</v>
      </c>
      <c r="AA129" s="5">
        <f>Z129/Z134</f>
        <v>0.22619047619047619</v>
      </c>
      <c r="AB129" s="10">
        <f>95/$AB$3</f>
        <v>0.22619047619047619</v>
      </c>
      <c r="AD129">
        <v>92</v>
      </c>
      <c r="AE129" s="5">
        <f>AD129/AD134</f>
        <v>0.184</v>
      </c>
      <c r="AF129" s="5">
        <f>92/$AF$3</f>
        <v>0.184</v>
      </c>
      <c r="AH129">
        <v>72</v>
      </c>
      <c r="AI129" s="5">
        <f>AH129/AH134</f>
        <v>0.14399999999999999</v>
      </c>
      <c r="AJ129" s="5">
        <f>72/$AJ$3</f>
        <v>0.14399999999999999</v>
      </c>
      <c r="AL129">
        <v>28</v>
      </c>
      <c r="AM129" s="5">
        <f>AL129/AL134</f>
        <v>0.16568047337278108</v>
      </c>
      <c r="AN129" s="5">
        <f>28/$AN$3</f>
        <v>0.16568047337278108</v>
      </c>
      <c r="AP129">
        <v>47</v>
      </c>
      <c r="AQ129" s="5">
        <f>AP129/AP134</f>
        <v>0.15112540192926044</v>
      </c>
      <c r="AR129" s="5">
        <f>47/$AR$3</f>
        <v>0.15112540192926044</v>
      </c>
      <c r="AT129">
        <v>67</v>
      </c>
      <c r="AU129" s="5">
        <f>AT129/AT134</f>
        <v>0.1717948717948718</v>
      </c>
      <c r="AV129" s="5">
        <f>67/$AV$3</f>
        <v>0.1717948717948718</v>
      </c>
      <c r="AX129">
        <v>22</v>
      </c>
      <c r="AY129" s="5">
        <f>AX129/AX134</f>
        <v>0.16923076923076924</v>
      </c>
      <c r="AZ129" s="5">
        <f>22/$AZ$3</f>
        <v>0.16923076923076924</v>
      </c>
      <c r="BB129">
        <v>58</v>
      </c>
      <c r="BC129" s="5">
        <f>BB129/BB134</f>
        <v>0.14285714285714285</v>
      </c>
      <c r="BD129" s="5">
        <f>58/$BD$3</f>
        <v>0.14285714285714285</v>
      </c>
      <c r="BF129">
        <v>60</v>
      </c>
      <c r="BG129" s="5">
        <f>BF129/BF134</f>
        <v>0.16129032258064516</v>
      </c>
      <c r="BH129" s="5">
        <f>60/$BH$3</f>
        <v>0.16129032258064516</v>
      </c>
      <c r="BJ129">
        <v>46</v>
      </c>
      <c r="BK129" s="5">
        <f>BJ129/BJ134</f>
        <v>0.2072072072072072</v>
      </c>
      <c r="BL129" s="5">
        <f>46/$BL$3</f>
        <v>0.2072072072072072</v>
      </c>
      <c r="BN129">
        <v>67</v>
      </c>
      <c r="BO129" s="5">
        <f>BN129/BN134</f>
        <v>0.1763157894736842</v>
      </c>
      <c r="BP129" s="5">
        <f>67/$BP$3</f>
        <v>0.1763157894736842</v>
      </c>
      <c r="BR129">
        <v>54</v>
      </c>
      <c r="BS129" s="5">
        <f>BR129/BR134</f>
        <v>0.14594594594594595</v>
      </c>
      <c r="BT129" s="5">
        <f>54/$BT$3</f>
        <v>0.14594594594594595</v>
      </c>
      <c r="BV129">
        <v>43</v>
      </c>
      <c r="BW129" s="5">
        <f>BV129/BV134</f>
        <v>0.17199999999999999</v>
      </c>
      <c r="BX129" s="5">
        <f>43/$BX$3</f>
        <v>0.17199999999999999</v>
      </c>
      <c r="BZ129">
        <v>29</v>
      </c>
      <c r="CA129" s="5">
        <f>BZ129/BZ134</f>
        <v>0.11600000000000001</v>
      </c>
      <c r="CB129" s="5">
        <f>29/$CB$3</f>
        <v>0.11600000000000001</v>
      </c>
      <c r="CD129">
        <v>32</v>
      </c>
      <c r="CE129" s="5">
        <f>CD129/CD134</f>
        <v>0.15238095238095239</v>
      </c>
      <c r="CF129" s="5">
        <f>32/$CF$3</f>
        <v>0.15238095238095239</v>
      </c>
      <c r="CH129">
        <v>45</v>
      </c>
      <c r="CI129" s="5">
        <f>CH129/CH134</f>
        <v>0.20454545454545456</v>
      </c>
      <c r="CJ129" s="5">
        <f>45/$CJ$3</f>
        <v>0.20454545454545456</v>
      </c>
      <c r="CL129">
        <v>58</v>
      </c>
      <c r="CM129" s="5">
        <f>CL129/CL134</f>
        <v>0.18124999999999999</v>
      </c>
      <c r="CN129" s="5">
        <f>58/$CN$3</f>
        <v>0.18124999999999999</v>
      </c>
    </row>
    <row r="130" spans="1:92" x14ac:dyDescent="0.25">
      <c r="A130" s="1" t="s">
        <v>572</v>
      </c>
      <c r="B130">
        <v>40</v>
      </c>
      <c r="C130" s="5">
        <f>B130/B134</f>
        <v>0.04</v>
      </c>
      <c r="D130" s="5">
        <f>40/$D$3</f>
        <v>0.04</v>
      </c>
      <c r="F130">
        <v>24</v>
      </c>
      <c r="G130" s="5">
        <f>F130/F134</f>
        <v>5.0847457627118647E-2</v>
      </c>
      <c r="H130" s="5">
        <f>24/$H$3</f>
        <v>5.0847457627118647E-2</v>
      </c>
      <c r="J130">
        <v>18</v>
      </c>
      <c r="K130" s="5">
        <f>J130/J134</f>
        <v>6.3157894736842107E-2</v>
      </c>
      <c r="L130" s="5">
        <f>18/$L$3</f>
        <v>6.3157894736842107E-2</v>
      </c>
      <c r="N130">
        <v>12</v>
      </c>
      <c r="O130" s="5">
        <f>N130/N134</f>
        <v>5.1724137931034482E-2</v>
      </c>
      <c r="P130" s="5">
        <f>12/$P$3</f>
        <v>5.1724137931034482E-2</v>
      </c>
      <c r="R130">
        <v>12</v>
      </c>
      <c r="S130" s="5">
        <f>R130/R134</f>
        <v>4.0816326530612242E-2</v>
      </c>
      <c r="T130" s="5">
        <f>12/$T$3</f>
        <v>4.0816326530612242E-2</v>
      </c>
      <c r="V130">
        <v>20</v>
      </c>
      <c r="W130" s="5">
        <f>V130/V134</f>
        <v>4.807692307692308E-2</v>
      </c>
      <c r="X130" s="5">
        <f>20/$X$3</f>
        <v>4.807692307692308E-2</v>
      </c>
      <c r="Z130">
        <v>17</v>
      </c>
      <c r="AA130" s="5">
        <f>Z130/Z134</f>
        <v>4.0476190476190478E-2</v>
      </c>
      <c r="AB130" s="5">
        <f>17/$AB$3</f>
        <v>4.0476190476190478E-2</v>
      </c>
      <c r="AD130">
        <v>16</v>
      </c>
      <c r="AE130" s="5">
        <f>AD130/AD134</f>
        <v>3.2000000000000001E-2</v>
      </c>
      <c r="AF130" s="5">
        <f>16/$AF$3</f>
        <v>3.2000000000000001E-2</v>
      </c>
      <c r="AH130">
        <v>24</v>
      </c>
      <c r="AI130" s="5">
        <f>AH130/AH134</f>
        <v>4.8000000000000001E-2</v>
      </c>
      <c r="AJ130" s="5">
        <f>24/$AJ$3</f>
        <v>4.8000000000000001E-2</v>
      </c>
      <c r="AL130">
        <v>5</v>
      </c>
      <c r="AM130" s="5">
        <f>AL130/AL134</f>
        <v>2.9585798816568046E-2</v>
      </c>
      <c r="AN130" s="5">
        <f>5/$AN$3</f>
        <v>2.9585798816568046E-2</v>
      </c>
      <c r="AP130">
        <v>19</v>
      </c>
      <c r="AQ130" s="5">
        <f>AP130/AP134</f>
        <v>6.1093247588424437E-2</v>
      </c>
      <c r="AR130" s="5">
        <f>19/$AR$3</f>
        <v>6.1093247588424437E-2</v>
      </c>
      <c r="AT130">
        <v>13</v>
      </c>
      <c r="AU130" s="5">
        <f>AT130/AT134</f>
        <v>3.3333333333333333E-2</v>
      </c>
      <c r="AV130" s="5">
        <f>13/$AV$3</f>
        <v>3.3333333333333333E-2</v>
      </c>
      <c r="AX130">
        <v>3</v>
      </c>
      <c r="AY130" s="5">
        <f>AX130/AX134</f>
        <v>2.3076923076923078E-2</v>
      </c>
      <c r="AZ130" s="5">
        <f>3/$AZ$3</f>
        <v>2.3076923076923078E-2</v>
      </c>
      <c r="BB130">
        <v>11</v>
      </c>
      <c r="BC130" s="5">
        <f>BB130/BB134</f>
        <v>2.7093596059113302E-2</v>
      </c>
      <c r="BD130" s="5">
        <f>11/$BD$3</f>
        <v>2.7093596059113302E-2</v>
      </c>
      <c r="BF130">
        <v>22</v>
      </c>
      <c r="BG130" s="5">
        <f>BF130/BF134</f>
        <v>5.9139784946236562E-2</v>
      </c>
      <c r="BH130" s="5">
        <f>22/$BH$3</f>
        <v>5.9139784946236562E-2</v>
      </c>
      <c r="BJ130">
        <v>7</v>
      </c>
      <c r="BK130" s="5">
        <f>BJ130/BJ134</f>
        <v>3.1531531531531529E-2</v>
      </c>
      <c r="BL130" s="5">
        <f>7/$BL$3</f>
        <v>3.1531531531531529E-2</v>
      </c>
      <c r="BN130">
        <v>17</v>
      </c>
      <c r="BO130" s="5">
        <f>BN130/BN134</f>
        <v>4.4736842105263158E-2</v>
      </c>
      <c r="BP130" s="5">
        <f>17/$BP$3</f>
        <v>4.4736842105263158E-2</v>
      </c>
      <c r="BR130">
        <v>13</v>
      </c>
      <c r="BS130" s="5">
        <f>BR130/BR134</f>
        <v>3.5135135135135137E-2</v>
      </c>
      <c r="BT130" s="5">
        <f>13/$BT$3</f>
        <v>3.5135135135135137E-2</v>
      </c>
      <c r="BV130">
        <v>10</v>
      </c>
      <c r="BW130" s="5">
        <f>BV130/BV134</f>
        <v>0.04</v>
      </c>
      <c r="BX130" s="5">
        <f>10/$BX$3</f>
        <v>0.04</v>
      </c>
      <c r="BZ130">
        <v>9</v>
      </c>
      <c r="CA130" s="5">
        <f>BZ130/BZ134</f>
        <v>3.5999999999999997E-2</v>
      </c>
      <c r="CB130" s="5">
        <f>9/$CB$3</f>
        <v>3.5999999999999997E-2</v>
      </c>
      <c r="CD130">
        <v>7</v>
      </c>
      <c r="CE130" s="5">
        <f>CD130/CD134</f>
        <v>3.3333333333333333E-2</v>
      </c>
      <c r="CF130" s="5">
        <f>7/$CF$3</f>
        <v>3.3333333333333333E-2</v>
      </c>
      <c r="CH130">
        <v>13</v>
      </c>
      <c r="CI130" s="5">
        <f>CH130/CH134</f>
        <v>5.909090909090909E-2</v>
      </c>
      <c r="CJ130" s="5">
        <f>13/$CJ$3</f>
        <v>5.909090909090909E-2</v>
      </c>
      <c r="CL130">
        <v>11</v>
      </c>
      <c r="CM130" s="5">
        <f>CL130/CL134</f>
        <v>3.4375000000000003E-2</v>
      </c>
      <c r="CN130" s="5">
        <f>11/$CN$3</f>
        <v>3.4375000000000003E-2</v>
      </c>
    </row>
    <row r="131" spans="1:92" x14ac:dyDescent="0.25">
      <c r="A131" s="1" t="s">
        <v>573</v>
      </c>
      <c r="B131">
        <v>235</v>
      </c>
      <c r="C131" s="5">
        <f>B131/B134</f>
        <v>0.23499999999999999</v>
      </c>
      <c r="D131" s="5">
        <f>235/$D$3</f>
        <v>0.23499999999999999</v>
      </c>
      <c r="F131">
        <v>126</v>
      </c>
      <c r="G131" s="5">
        <f>F131/F134</f>
        <v>0.26694915254237289</v>
      </c>
      <c r="H131" s="5">
        <f>126/$H$3</f>
        <v>0.26694915254237289</v>
      </c>
      <c r="J131">
        <v>90</v>
      </c>
      <c r="K131" s="5">
        <f>J131/J134</f>
        <v>0.31578947368421051</v>
      </c>
      <c r="L131" s="10">
        <f>90/$L$3</f>
        <v>0.31578947368421051</v>
      </c>
      <c r="N131">
        <v>65</v>
      </c>
      <c r="O131" s="5">
        <f>N131/N134</f>
        <v>0.28017241379310343</v>
      </c>
      <c r="P131" s="5">
        <f>65/$P$3</f>
        <v>0.28017241379310343</v>
      </c>
      <c r="R131">
        <v>85</v>
      </c>
      <c r="S131" s="5">
        <f>R131/R134</f>
        <v>0.28911564625850339</v>
      </c>
      <c r="T131" s="10">
        <f>85/$T$3</f>
        <v>0.28911564625850339</v>
      </c>
      <c r="V131">
        <v>118</v>
      </c>
      <c r="W131" s="5">
        <f>V131/V134</f>
        <v>0.28365384615384615</v>
      </c>
      <c r="X131" s="5">
        <f>118/$X$3</f>
        <v>0.28365384615384615</v>
      </c>
      <c r="Z131">
        <v>117</v>
      </c>
      <c r="AA131" s="5">
        <f>Z131/Z134</f>
        <v>0.27857142857142858</v>
      </c>
      <c r="AB131" s="5">
        <f>117/$AB$3</f>
        <v>0.27857142857142858</v>
      </c>
      <c r="AD131">
        <v>118</v>
      </c>
      <c r="AE131" s="5">
        <f>AD131/AD134</f>
        <v>0.23599999999999999</v>
      </c>
      <c r="AF131" s="5">
        <f>118/$AF$3</f>
        <v>0.23599999999999999</v>
      </c>
      <c r="AH131">
        <v>117</v>
      </c>
      <c r="AI131" s="5">
        <f>AH131/AH134</f>
        <v>0.23400000000000001</v>
      </c>
      <c r="AJ131" s="5">
        <f>117/$AJ$3</f>
        <v>0.23400000000000001</v>
      </c>
      <c r="AL131">
        <v>28</v>
      </c>
      <c r="AM131" s="5">
        <f>AL131/AL134</f>
        <v>0.16568047337278108</v>
      </c>
      <c r="AN131" s="11">
        <f>28/$AN$3</f>
        <v>0.16568047337278108</v>
      </c>
      <c r="AP131">
        <v>71</v>
      </c>
      <c r="AQ131" s="5">
        <f>AP131/AP134</f>
        <v>0.22829581993569131</v>
      </c>
      <c r="AR131" s="5">
        <f>71/$AR$3</f>
        <v>0.22829581993569131</v>
      </c>
      <c r="AT131">
        <v>102</v>
      </c>
      <c r="AU131" s="5">
        <f>AT131/AT134</f>
        <v>0.26153846153846155</v>
      </c>
      <c r="AV131" s="5">
        <f>102/$AV$3</f>
        <v>0.26153846153846155</v>
      </c>
      <c r="AX131">
        <v>34</v>
      </c>
      <c r="AY131" s="5">
        <f>AX131/AX134</f>
        <v>0.26153846153846155</v>
      </c>
      <c r="AZ131" s="5">
        <f>34/$AZ$3</f>
        <v>0.26153846153846155</v>
      </c>
      <c r="BB131">
        <v>105</v>
      </c>
      <c r="BC131" s="5">
        <f>BB131/BB134</f>
        <v>0.25862068965517243</v>
      </c>
      <c r="BD131" s="5">
        <f>105/$BD$3</f>
        <v>0.25862068965517243</v>
      </c>
      <c r="BF131">
        <v>81</v>
      </c>
      <c r="BG131" s="5">
        <f>BF131/BF134</f>
        <v>0.21774193548387097</v>
      </c>
      <c r="BH131" s="5">
        <f>81/$BH$3</f>
        <v>0.21774193548387097</v>
      </c>
      <c r="BJ131">
        <v>49</v>
      </c>
      <c r="BK131" s="5">
        <f>BJ131/BJ134</f>
        <v>0.22072072072072071</v>
      </c>
      <c r="BL131" s="5">
        <f>49/$BL$3</f>
        <v>0.22072072072072071</v>
      </c>
      <c r="BN131">
        <v>83</v>
      </c>
      <c r="BO131" s="5">
        <f>BN131/BN134</f>
        <v>0.21842105263157896</v>
      </c>
      <c r="BP131" s="5">
        <f>83/$BP$3</f>
        <v>0.21842105263157896</v>
      </c>
      <c r="BR131">
        <v>81</v>
      </c>
      <c r="BS131" s="5">
        <f>BR131/BR134</f>
        <v>0.21891891891891893</v>
      </c>
      <c r="BT131" s="5">
        <f>81/$BT$3</f>
        <v>0.21891891891891893</v>
      </c>
      <c r="BV131">
        <v>71</v>
      </c>
      <c r="BW131" s="5">
        <f>BV131/BV134</f>
        <v>0.28399999999999997</v>
      </c>
      <c r="BX131" s="5">
        <f>71/$BX$3</f>
        <v>0.28399999999999997</v>
      </c>
      <c r="BZ131">
        <v>59</v>
      </c>
      <c r="CA131" s="5">
        <f>BZ131/BZ134</f>
        <v>0.23599999999999999</v>
      </c>
      <c r="CB131" s="5">
        <f>59/$CB$3</f>
        <v>0.23599999999999999</v>
      </c>
      <c r="CD131">
        <v>39</v>
      </c>
      <c r="CE131" s="5">
        <f>CD131/CD134</f>
        <v>0.18571428571428572</v>
      </c>
      <c r="CF131" s="5">
        <f>39/$CF$3</f>
        <v>0.18571428571428572</v>
      </c>
      <c r="CH131">
        <v>51</v>
      </c>
      <c r="CI131" s="5">
        <f>CH131/CH134</f>
        <v>0.23181818181818181</v>
      </c>
      <c r="CJ131" s="5">
        <f>51/$CJ$3</f>
        <v>0.23181818181818181</v>
      </c>
      <c r="CL131">
        <v>86</v>
      </c>
      <c r="CM131" s="5">
        <f>CL131/CL134</f>
        <v>0.26874999999999999</v>
      </c>
      <c r="CN131" s="5">
        <f>86/$CN$3</f>
        <v>0.26874999999999999</v>
      </c>
    </row>
    <row r="132" spans="1:92" x14ac:dyDescent="0.25">
      <c r="A132" s="1" t="s">
        <v>574</v>
      </c>
      <c r="B132">
        <v>474</v>
      </c>
      <c r="C132" s="5">
        <f>B132/B134</f>
        <v>0.47399999999999998</v>
      </c>
      <c r="D132" s="5">
        <f>474/$D$3</f>
        <v>0.47399999999999998</v>
      </c>
      <c r="F132">
        <v>265</v>
      </c>
      <c r="G132" s="5">
        <f>F132/F134</f>
        <v>0.56144067796610164</v>
      </c>
      <c r="H132" s="10">
        <f>265/$H$3</f>
        <v>0.56144067796610164</v>
      </c>
      <c r="J132">
        <v>157</v>
      </c>
      <c r="K132" s="5">
        <f>J132/J134</f>
        <v>0.55087719298245619</v>
      </c>
      <c r="L132" s="10">
        <f>157/$L$3</f>
        <v>0.55087719298245619</v>
      </c>
      <c r="N132">
        <v>148</v>
      </c>
      <c r="O132" s="5">
        <f>N132/N134</f>
        <v>0.63793103448275867</v>
      </c>
      <c r="P132" s="10">
        <f>148/$P$3</f>
        <v>0.63793103448275867</v>
      </c>
      <c r="R132">
        <v>188</v>
      </c>
      <c r="S132" s="5">
        <f>R132/R134</f>
        <v>0.63945578231292521</v>
      </c>
      <c r="T132" s="10">
        <f>188/$T$3</f>
        <v>0.63945578231292521</v>
      </c>
      <c r="V132">
        <v>247</v>
      </c>
      <c r="W132" s="5">
        <f>V132/V134</f>
        <v>0.59375</v>
      </c>
      <c r="X132" s="10">
        <f>247/$X$3</f>
        <v>0.59375</v>
      </c>
      <c r="Z132">
        <v>257</v>
      </c>
      <c r="AA132" s="5">
        <f>Z132/Z134</f>
        <v>0.61190476190476195</v>
      </c>
      <c r="AB132" s="10">
        <f>257/$AB$3</f>
        <v>0.61190476190476195</v>
      </c>
      <c r="AD132">
        <v>239</v>
      </c>
      <c r="AE132" s="5">
        <f>AD132/AD134</f>
        <v>0.47799999999999998</v>
      </c>
      <c r="AF132" s="5">
        <f>239/$AF$3</f>
        <v>0.47799999999999998</v>
      </c>
      <c r="AH132">
        <v>235</v>
      </c>
      <c r="AI132" s="5">
        <f>AH132/AH134</f>
        <v>0.47</v>
      </c>
      <c r="AJ132" s="5">
        <f>235/$AJ$3</f>
        <v>0.47</v>
      </c>
      <c r="AL132">
        <v>85</v>
      </c>
      <c r="AM132" s="5">
        <f>AL132/AL134</f>
        <v>0.50295857988165682</v>
      </c>
      <c r="AN132" s="5">
        <f>85/$AN$3</f>
        <v>0.50295857988165682</v>
      </c>
      <c r="AP132">
        <v>148</v>
      </c>
      <c r="AQ132" s="5">
        <f>AP132/AP134</f>
        <v>0.47588424437299037</v>
      </c>
      <c r="AR132" s="5">
        <f>148/$AR$3</f>
        <v>0.47588424437299037</v>
      </c>
      <c r="AT132">
        <v>186</v>
      </c>
      <c r="AU132" s="5">
        <f>AT132/AT134</f>
        <v>0.47692307692307695</v>
      </c>
      <c r="AV132" s="5">
        <f>186/$AV$3</f>
        <v>0.47692307692307695</v>
      </c>
      <c r="AX132">
        <v>55</v>
      </c>
      <c r="AY132" s="5">
        <f>AX132/AX134</f>
        <v>0.42307692307692307</v>
      </c>
      <c r="AZ132" s="5">
        <f>55/$AZ$3</f>
        <v>0.42307692307692307</v>
      </c>
      <c r="BB132">
        <v>172</v>
      </c>
      <c r="BC132" s="5">
        <f>BB132/BB134</f>
        <v>0.42364532019704432</v>
      </c>
      <c r="BD132" s="11">
        <f>172/$BD$3</f>
        <v>0.42364532019704432</v>
      </c>
      <c r="BF132">
        <v>190</v>
      </c>
      <c r="BG132" s="5">
        <f>BF132/BF134</f>
        <v>0.510752688172043</v>
      </c>
      <c r="BH132" s="5">
        <f>190/$BH$3</f>
        <v>0.510752688172043</v>
      </c>
      <c r="BJ132">
        <v>112</v>
      </c>
      <c r="BK132" s="5">
        <f>BJ132/BJ134</f>
        <v>0.50450450450450446</v>
      </c>
      <c r="BL132" s="5">
        <f>112/$BL$3</f>
        <v>0.50450450450450446</v>
      </c>
      <c r="BN132">
        <v>160</v>
      </c>
      <c r="BO132" s="5">
        <f>BN132/BN134</f>
        <v>0.42105263157894735</v>
      </c>
      <c r="BP132" s="11">
        <f>160/$BP$3</f>
        <v>0.42105263157894735</v>
      </c>
      <c r="BR132">
        <v>185</v>
      </c>
      <c r="BS132" s="5">
        <f>BR132/BR134</f>
        <v>0.5</v>
      </c>
      <c r="BT132" s="5">
        <f>185/$BT$3</f>
        <v>0.5</v>
      </c>
      <c r="BV132">
        <v>129</v>
      </c>
      <c r="BW132" s="5">
        <f>BV132/BV134</f>
        <v>0.51600000000000001</v>
      </c>
      <c r="BX132" s="5">
        <f>129/$BX$3</f>
        <v>0.51600000000000001</v>
      </c>
      <c r="BZ132">
        <v>105</v>
      </c>
      <c r="CA132" s="5">
        <f>BZ132/BZ134</f>
        <v>0.42</v>
      </c>
      <c r="CB132" s="11">
        <f>105/$CB$3</f>
        <v>0.42</v>
      </c>
      <c r="CD132">
        <v>107</v>
      </c>
      <c r="CE132" s="5">
        <f>CD132/CD134</f>
        <v>0.50952380952380949</v>
      </c>
      <c r="CF132" s="5">
        <f>107/$CF$3</f>
        <v>0.50952380952380949</v>
      </c>
      <c r="CH132">
        <v>107</v>
      </c>
      <c r="CI132" s="5">
        <f>CH132/CH134</f>
        <v>0.48636363636363639</v>
      </c>
      <c r="CJ132" s="5">
        <f>107/$CJ$3</f>
        <v>0.48636363636363639</v>
      </c>
      <c r="CL132">
        <v>155</v>
      </c>
      <c r="CM132" s="5">
        <f>CL132/CL134</f>
        <v>0.484375</v>
      </c>
      <c r="CN132" s="5">
        <f>155/$CN$3</f>
        <v>0.484375</v>
      </c>
    </row>
    <row r="133" spans="1:92" x14ac:dyDescent="0.25">
      <c r="A133" s="1" t="s">
        <v>12</v>
      </c>
      <c r="B133">
        <v>318</v>
      </c>
      <c r="C133" s="5">
        <f>B133/B134</f>
        <v>0.318</v>
      </c>
      <c r="D133" s="5">
        <f>318/$D$3</f>
        <v>0.318</v>
      </c>
      <c r="F133">
        <v>112</v>
      </c>
      <c r="G133" s="5">
        <f>F133/F134</f>
        <v>0.23728813559322035</v>
      </c>
      <c r="H133" s="11">
        <f>112/$H$3</f>
        <v>0.23728813559322035</v>
      </c>
      <c r="J133">
        <v>62</v>
      </c>
      <c r="K133" s="5">
        <f>J133/J134</f>
        <v>0.21754385964912282</v>
      </c>
      <c r="L133" s="11">
        <f>62/$L$3</f>
        <v>0.21754385964912282</v>
      </c>
      <c r="N133">
        <v>35</v>
      </c>
      <c r="O133" s="5">
        <f>N133/N134</f>
        <v>0.15086206896551724</v>
      </c>
      <c r="P133" s="11">
        <f>35/$P$3</f>
        <v>0.15086206896551724</v>
      </c>
      <c r="R133">
        <v>48</v>
      </c>
      <c r="S133" s="5">
        <f>R133/R134</f>
        <v>0.16326530612244897</v>
      </c>
      <c r="T133" s="11">
        <f>48/$T$3</f>
        <v>0.16326530612244897</v>
      </c>
      <c r="V133">
        <v>87</v>
      </c>
      <c r="W133" s="5">
        <f>V133/V134</f>
        <v>0.20913461538461539</v>
      </c>
      <c r="X133" s="11">
        <f>87/$X$3</f>
        <v>0.20913461538461539</v>
      </c>
      <c r="Z133">
        <v>80</v>
      </c>
      <c r="AA133" s="5">
        <f>Z133/Z134</f>
        <v>0.19047619047619047</v>
      </c>
      <c r="AB133" s="11">
        <f>80/$AB$3</f>
        <v>0.19047619047619047</v>
      </c>
      <c r="AD133">
        <v>163</v>
      </c>
      <c r="AE133" s="5">
        <f>AD133/AD134</f>
        <v>0.32600000000000001</v>
      </c>
      <c r="AF133" s="5">
        <f>163/$AF$3</f>
        <v>0.32600000000000001</v>
      </c>
      <c r="AH133">
        <v>155</v>
      </c>
      <c r="AI133" s="5">
        <f>AH133/AH134</f>
        <v>0.31</v>
      </c>
      <c r="AJ133" s="5">
        <f>155/$AJ$3</f>
        <v>0.31</v>
      </c>
      <c r="AL133">
        <v>52</v>
      </c>
      <c r="AM133" s="5">
        <f>AL133/AL134</f>
        <v>0.30769230769230771</v>
      </c>
      <c r="AN133" s="5">
        <f>52/$AN$3</f>
        <v>0.30769230769230771</v>
      </c>
      <c r="AP133">
        <v>102</v>
      </c>
      <c r="AQ133" s="5">
        <f>AP133/AP134</f>
        <v>0.32797427652733119</v>
      </c>
      <c r="AR133" s="5">
        <f>102/$AR$3</f>
        <v>0.32797427652733119</v>
      </c>
      <c r="AT133">
        <v>119</v>
      </c>
      <c r="AU133" s="5">
        <f>AT133/AT134</f>
        <v>0.30512820512820515</v>
      </c>
      <c r="AV133" s="5">
        <f>119/$AV$3</f>
        <v>0.30512820512820515</v>
      </c>
      <c r="AX133">
        <v>45</v>
      </c>
      <c r="AY133" s="5">
        <f>AX133/AX134</f>
        <v>0.34615384615384615</v>
      </c>
      <c r="AZ133" s="5">
        <f>45/$AZ$3</f>
        <v>0.34615384615384615</v>
      </c>
      <c r="BB133">
        <v>148</v>
      </c>
      <c r="BC133" s="5">
        <f>BB133/BB134</f>
        <v>0.3645320197044335</v>
      </c>
      <c r="BD133" s="5">
        <f>148/$BD$3</f>
        <v>0.3645320197044335</v>
      </c>
      <c r="BF133">
        <v>110</v>
      </c>
      <c r="BG133" s="5">
        <f>BF133/BF134</f>
        <v>0.29569892473118281</v>
      </c>
      <c r="BH133" s="5">
        <f>110/$BH$3</f>
        <v>0.29569892473118281</v>
      </c>
      <c r="BJ133">
        <v>60</v>
      </c>
      <c r="BK133" s="5">
        <f>BJ133/BJ134</f>
        <v>0.27027027027027029</v>
      </c>
      <c r="BL133" s="5">
        <f>60/$BL$3</f>
        <v>0.27027027027027029</v>
      </c>
      <c r="BN133">
        <v>135</v>
      </c>
      <c r="BO133" s="5">
        <f>BN133/BN134</f>
        <v>0.35526315789473684</v>
      </c>
      <c r="BP133" s="5">
        <f>135/$BP$3</f>
        <v>0.35526315789473684</v>
      </c>
      <c r="BR133">
        <v>106</v>
      </c>
      <c r="BS133" s="5">
        <f>BR133/BR134</f>
        <v>0.2864864864864865</v>
      </c>
      <c r="BT133" s="5">
        <f>106/$BT$3</f>
        <v>0.2864864864864865</v>
      </c>
      <c r="BV133">
        <v>77</v>
      </c>
      <c r="BW133" s="5">
        <f>BV133/BV134</f>
        <v>0.308</v>
      </c>
      <c r="BX133" s="5">
        <f>77/$BX$3</f>
        <v>0.308</v>
      </c>
      <c r="BZ133">
        <v>86</v>
      </c>
      <c r="CA133" s="5">
        <f>BZ133/BZ134</f>
        <v>0.34399999999999997</v>
      </c>
      <c r="CB133" s="5">
        <f>86/$CB$3</f>
        <v>0.34399999999999997</v>
      </c>
      <c r="CD133">
        <v>73</v>
      </c>
      <c r="CE133" s="5">
        <f>CD133/CD134</f>
        <v>0.34761904761904761</v>
      </c>
      <c r="CF133" s="5">
        <f>73/$CF$3</f>
        <v>0.34761904761904761</v>
      </c>
      <c r="CH133">
        <v>63</v>
      </c>
      <c r="CI133" s="5">
        <f>CH133/CH134</f>
        <v>0.28636363636363638</v>
      </c>
      <c r="CJ133" s="5">
        <f>63/$CJ$3</f>
        <v>0.28636363636363638</v>
      </c>
      <c r="CL133">
        <v>96</v>
      </c>
      <c r="CM133" s="5">
        <f>CL133/CL134</f>
        <v>0.3</v>
      </c>
      <c r="CN133" s="5">
        <f>96/$CN$3</f>
        <v>0.3</v>
      </c>
    </row>
    <row r="134" spans="1:92" s="6" customFormat="1" x14ac:dyDescent="0.25">
      <c r="A134" s="7" t="s">
        <v>13</v>
      </c>
      <c r="B134" s="6">
        <v>1000</v>
      </c>
      <c r="F134" s="6">
        <v>472</v>
      </c>
      <c r="J134" s="6">
        <v>285</v>
      </c>
      <c r="N134" s="6">
        <v>232</v>
      </c>
      <c r="R134" s="6">
        <v>294</v>
      </c>
      <c r="V134" s="6">
        <v>416</v>
      </c>
      <c r="Z134" s="6">
        <v>420</v>
      </c>
      <c r="AD134" s="6">
        <v>500</v>
      </c>
      <c r="AH134" s="6">
        <v>500</v>
      </c>
      <c r="AL134" s="6">
        <v>169</v>
      </c>
      <c r="AP134" s="6">
        <v>311</v>
      </c>
      <c r="AT134" s="6">
        <v>390</v>
      </c>
      <c r="AX134" s="6">
        <v>130</v>
      </c>
      <c r="BB134" s="6">
        <v>406</v>
      </c>
      <c r="BF134" s="6">
        <v>372</v>
      </c>
      <c r="BJ134" s="6">
        <v>222</v>
      </c>
      <c r="BN134" s="6">
        <v>380</v>
      </c>
      <c r="BR134" s="6">
        <v>370</v>
      </c>
      <c r="BV134" s="6">
        <v>250</v>
      </c>
      <c r="BZ134" s="6">
        <v>250</v>
      </c>
      <c r="CD134" s="6">
        <v>210</v>
      </c>
      <c r="CH134" s="6">
        <v>220</v>
      </c>
      <c r="CL134" s="6">
        <v>320</v>
      </c>
    </row>
    <row r="135" spans="1:92" hidden="1" x14ac:dyDescent="0.25">
      <c r="A135" s="8" t="s">
        <v>14</v>
      </c>
      <c r="B135">
        <v>0</v>
      </c>
      <c r="F135">
        <v>0</v>
      </c>
      <c r="J135">
        <v>0</v>
      </c>
      <c r="N135">
        <v>0</v>
      </c>
      <c r="R135">
        <v>0</v>
      </c>
      <c r="V135">
        <v>0</v>
      </c>
      <c r="Z135">
        <v>0</v>
      </c>
      <c r="AD135">
        <v>0</v>
      </c>
      <c r="AH135">
        <v>0</v>
      </c>
      <c r="AL135">
        <v>0</v>
      </c>
      <c r="AP135">
        <v>0</v>
      </c>
      <c r="AT135">
        <v>0</v>
      </c>
      <c r="AX135">
        <v>0</v>
      </c>
      <c r="BB135">
        <v>0</v>
      </c>
      <c r="BF135">
        <v>0</v>
      </c>
      <c r="BJ135">
        <v>0</v>
      </c>
      <c r="BN135">
        <v>0</v>
      </c>
      <c r="BR135">
        <v>0</v>
      </c>
      <c r="BV135">
        <v>0</v>
      </c>
      <c r="BZ135">
        <v>0</v>
      </c>
      <c r="CD135">
        <v>0</v>
      </c>
      <c r="CH135">
        <v>0</v>
      </c>
      <c r="CL135">
        <v>0</v>
      </c>
    </row>
    <row r="136" spans="1:92" hidden="1" x14ac:dyDescent="0.25">
      <c r="A136" s="8" t="s">
        <v>15</v>
      </c>
      <c r="B136">
        <v>0</v>
      </c>
      <c r="F136">
        <v>0</v>
      </c>
      <c r="J136">
        <v>0</v>
      </c>
      <c r="N136">
        <v>0</v>
      </c>
      <c r="R136">
        <v>0</v>
      </c>
      <c r="V136">
        <v>0</v>
      </c>
      <c r="Z136">
        <v>0</v>
      </c>
      <c r="AD136">
        <v>0</v>
      </c>
      <c r="AH136">
        <v>0</v>
      </c>
      <c r="AL136">
        <v>0</v>
      </c>
      <c r="AP136">
        <v>0</v>
      </c>
      <c r="AT136">
        <v>0</v>
      </c>
      <c r="AX136">
        <v>0</v>
      </c>
      <c r="BB136">
        <v>0</v>
      </c>
      <c r="BF136">
        <v>0</v>
      </c>
      <c r="BJ136">
        <v>0</v>
      </c>
      <c r="BN136">
        <v>0</v>
      </c>
      <c r="BR136">
        <v>0</v>
      </c>
      <c r="BV136">
        <v>0</v>
      </c>
      <c r="BZ136">
        <v>0</v>
      </c>
      <c r="CD136">
        <v>0</v>
      </c>
      <c r="CH136">
        <v>0</v>
      </c>
      <c r="CL136">
        <v>0</v>
      </c>
    </row>
    <row r="138" spans="1:92" x14ac:dyDescent="0.25">
      <c r="AN138" s="2" t="s">
        <v>5</v>
      </c>
      <c r="AR138" s="2" t="s">
        <v>6</v>
      </c>
      <c r="AV138" s="2" t="s">
        <v>7</v>
      </c>
      <c r="AZ138" s="2" t="s">
        <v>8</v>
      </c>
      <c r="BD138" s="2" t="s">
        <v>5</v>
      </c>
      <c r="BH138" s="2" t="s">
        <v>6</v>
      </c>
      <c r="BL138" s="2" t="s">
        <v>7</v>
      </c>
      <c r="BP138" s="2" t="s">
        <v>5</v>
      </c>
      <c r="BT138" s="2" t="s">
        <v>6</v>
      </c>
      <c r="BX138" s="2" t="s">
        <v>7</v>
      </c>
      <c r="CB138" s="2" t="s">
        <v>5</v>
      </c>
      <c r="CF138" s="2" t="s">
        <v>6</v>
      </c>
      <c r="CJ138" s="2" t="s">
        <v>7</v>
      </c>
      <c r="CN138" s="2" t="s">
        <v>8</v>
      </c>
    </row>
    <row r="139" spans="1:92" s="3" customFormat="1" x14ac:dyDescent="0.25">
      <c r="A139" s="3" t="s">
        <v>1402</v>
      </c>
      <c r="D139" s="4" t="s">
        <v>10</v>
      </c>
      <c r="H139" s="4" t="s">
        <v>10</v>
      </c>
      <c r="L139" s="4" t="s">
        <v>10</v>
      </c>
      <c r="P139" s="4" t="s">
        <v>10</v>
      </c>
      <c r="T139" s="4" t="s">
        <v>10</v>
      </c>
      <c r="X139" s="4" t="s">
        <v>10</v>
      </c>
      <c r="AB139" s="4" t="s">
        <v>10</v>
      </c>
      <c r="AF139" s="4" t="s">
        <v>10</v>
      </c>
      <c r="AJ139" s="4" t="s">
        <v>10</v>
      </c>
      <c r="AN139" s="4" t="s">
        <v>10</v>
      </c>
      <c r="AR139" s="4" t="s">
        <v>10</v>
      </c>
      <c r="AV139" s="4" t="s">
        <v>10</v>
      </c>
      <c r="AZ139" s="4" t="s">
        <v>10</v>
      </c>
      <c r="BD139" s="4" t="s">
        <v>10</v>
      </c>
      <c r="BH139" s="4" t="s">
        <v>10</v>
      </c>
      <c r="BL139" s="4" t="s">
        <v>10</v>
      </c>
      <c r="BP139" s="4" t="s">
        <v>10</v>
      </c>
      <c r="BT139" s="4" t="s">
        <v>10</v>
      </c>
      <c r="BX139" s="4" t="s">
        <v>10</v>
      </c>
      <c r="CB139" s="4" t="s">
        <v>10</v>
      </c>
      <c r="CF139" s="4" t="s">
        <v>10</v>
      </c>
      <c r="CJ139" s="4" t="s">
        <v>10</v>
      </c>
      <c r="CN139" s="4" t="s">
        <v>10</v>
      </c>
    </row>
    <row r="140" spans="1:92" x14ac:dyDescent="0.25">
      <c r="A140" s="1" t="s">
        <v>576</v>
      </c>
      <c r="B140">
        <v>803</v>
      </c>
      <c r="C140" s="5">
        <f>B140/B143</f>
        <v>0.80300000000000005</v>
      </c>
      <c r="D140" s="5">
        <f>803/$D$3</f>
        <v>0.80300000000000005</v>
      </c>
      <c r="F140">
        <v>420</v>
      </c>
      <c r="G140" s="5">
        <f>F140/F143</f>
        <v>0.88983050847457623</v>
      </c>
      <c r="H140" s="10">
        <f>420/$H$3</f>
        <v>0.88983050847457623</v>
      </c>
      <c r="J140">
        <v>257</v>
      </c>
      <c r="K140" s="5">
        <f>J140/J143</f>
        <v>0.90175438596491231</v>
      </c>
      <c r="L140" s="10">
        <f>257/$L$3</f>
        <v>0.90175438596491231</v>
      </c>
      <c r="N140">
        <v>222</v>
      </c>
      <c r="O140" s="5">
        <f>N140/N143</f>
        <v>0.9568965517241379</v>
      </c>
      <c r="P140" s="10">
        <f>222/$P$3</f>
        <v>0.9568965517241379</v>
      </c>
      <c r="R140">
        <v>282</v>
      </c>
      <c r="S140" s="5">
        <f>R140/R143</f>
        <v>0.95918367346938771</v>
      </c>
      <c r="T140" s="10">
        <f>282/$T$3</f>
        <v>0.95918367346938771</v>
      </c>
      <c r="V140">
        <v>383</v>
      </c>
      <c r="W140" s="5">
        <f>V140/V143</f>
        <v>0.92067307692307687</v>
      </c>
      <c r="X140" s="10">
        <f>383/$X$3</f>
        <v>0.92067307692307687</v>
      </c>
      <c r="Z140">
        <v>420</v>
      </c>
      <c r="AA140" s="5">
        <f>Z140/Z143</f>
        <v>1</v>
      </c>
      <c r="AB140" s="10">
        <f>420/$AB$3</f>
        <v>1</v>
      </c>
      <c r="AD140">
        <v>413</v>
      </c>
      <c r="AE140" s="5">
        <f>AD140/AD143</f>
        <v>0.82599999999999996</v>
      </c>
      <c r="AF140" s="5">
        <f>413/$AF$3</f>
        <v>0.82599999999999996</v>
      </c>
      <c r="AH140">
        <v>390</v>
      </c>
      <c r="AI140" s="5">
        <f>AH140/AH143</f>
        <v>0.78</v>
      </c>
      <c r="AJ140" s="5">
        <f>390/$AJ$3</f>
        <v>0.78</v>
      </c>
      <c r="AL140">
        <v>126</v>
      </c>
      <c r="AM140" s="5">
        <f>AL140/AL143</f>
        <v>0.74556213017751483</v>
      </c>
      <c r="AN140" s="11">
        <f>126/$AN$3</f>
        <v>0.74556213017751483</v>
      </c>
      <c r="AP140">
        <v>247</v>
      </c>
      <c r="AQ140" s="5">
        <f>AP140/AP143</f>
        <v>0.79421221864951763</v>
      </c>
      <c r="AR140" s="5">
        <f>247/$AR$3</f>
        <v>0.79421221864951763</v>
      </c>
      <c r="AT140">
        <v>326</v>
      </c>
      <c r="AU140" s="5">
        <f>AT140/AT143</f>
        <v>0.83589743589743593</v>
      </c>
      <c r="AV140" s="5">
        <f>326/$AV$3</f>
        <v>0.83589743589743593</v>
      </c>
      <c r="AX140">
        <v>104</v>
      </c>
      <c r="AY140" s="5">
        <f>AX140/AX143</f>
        <v>0.8</v>
      </c>
      <c r="AZ140" s="5">
        <f>104/$AZ$3</f>
        <v>0.8</v>
      </c>
      <c r="BB140">
        <v>300</v>
      </c>
      <c r="BC140" s="5">
        <f>BB140/BB143</f>
        <v>0.73891625615763545</v>
      </c>
      <c r="BD140" s="11">
        <f>300/$BD$3</f>
        <v>0.73891625615763545</v>
      </c>
      <c r="BF140">
        <v>312</v>
      </c>
      <c r="BG140" s="5">
        <f>BF140/BF143</f>
        <v>0.83870967741935487</v>
      </c>
      <c r="BH140" s="5">
        <f>312/$BH$3</f>
        <v>0.83870967741935487</v>
      </c>
      <c r="BI140" s="12"/>
      <c r="BJ140">
        <v>191</v>
      </c>
      <c r="BK140" s="5">
        <f>BJ140/BJ143</f>
        <v>0.86036036036036034</v>
      </c>
      <c r="BL140" s="10">
        <f>191/$BL$3</f>
        <v>0.86036036036036034</v>
      </c>
      <c r="BM140" s="12"/>
      <c r="BN140">
        <v>291</v>
      </c>
      <c r="BO140" s="5">
        <f>BN140/BN143</f>
        <v>0.76578947368421058</v>
      </c>
      <c r="BP140" s="5">
        <f>291/$BP$3</f>
        <v>0.76578947368421058</v>
      </c>
      <c r="BR140">
        <v>305</v>
      </c>
      <c r="BS140" s="5">
        <f>BR140/BR143</f>
        <v>0.82432432432432434</v>
      </c>
      <c r="BT140" s="5">
        <f>305/$BT$3</f>
        <v>0.82432432432432434</v>
      </c>
      <c r="BV140">
        <v>207</v>
      </c>
      <c r="BW140" s="5">
        <f>BV140/BV143</f>
        <v>0.82799999999999996</v>
      </c>
      <c r="BX140" s="5">
        <f>207/$BX$3</f>
        <v>0.82799999999999996</v>
      </c>
      <c r="BZ140">
        <v>204</v>
      </c>
      <c r="CA140" s="5">
        <f>BZ140/BZ143</f>
        <v>0.81599999999999995</v>
      </c>
      <c r="CB140" s="5">
        <f>204/$CB$3</f>
        <v>0.81599999999999995</v>
      </c>
      <c r="CD140">
        <v>163</v>
      </c>
      <c r="CE140" s="5">
        <f>CD140/CD143</f>
        <v>0.77619047619047621</v>
      </c>
      <c r="CF140" s="5">
        <f>163/$CF$3</f>
        <v>0.77619047619047621</v>
      </c>
      <c r="CH140">
        <v>171</v>
      </c>
      <c r="CI140" s="5">
        <f>CH140/CH143</f>
        <v>0.77727272727272723</v>
      </c>
      <c r="CJ140" s="5">
        <f>171/$CJ$3</f>
        <v>0.77727272727272723</v>
      </c>
      <c r="CL140">
        <v>265</v>
      </c>
      <c r="CM140" s="5">
        <f>CL140/CL143</f>
        <v>0.828125</v>
      </c>
      <c r="CN140" s="5">
        <f>265/$CN$3</f>
        <v>0.828125</v>
      </c>
    </row>
    <row r="141" spans="1:92" x14ac:dyDescent="0.25">
      <c r="A141" s="1" t="s">
        <v>577</v>
      </c>
      <c r="B141">
        <v>197</v>
      </c>
      <c r="C141" s="5">
        <f>B141/B143</f>
        <v>0.19700000000000001</v>
      </c>
      <c r="D141" s="5">
        <f>197/$D$3</f>
        <v>0.19700000000000001</v>
      </c>
      <c r="F141">
        <v>52</v>
      </c>
      <c r="G141" s="5">
        <f>F141/F143</f>
        <v>0.11016949152542373</v>
      </c>
      <c r="H141" s="11">
        <f>52/$H$3</f>
        <v>0.11016949152542373</v>
      </c>
      <c r="J141">
        <v>28</v>
      </c>
      <c r="K141" s="5">
        <f>J141/J143</f>
        <v>9.8245614035087719E-2</v>
      </c>
      <c r="L141" s="11">
        <f>28/$L$3</f>
        <v>9.8245614035087719E-2</v>
      </c>
      <c r="N141">
        <v>10</v>
      </c>
      <c r="O141" s="5">
        <f>N141/N143</f>
        <v>4.3103448275862072E-2</v>
      </c>
      <c r="P141" s="11">
        <f>10/$P$3</f>
        <v>4.3103448275862072E-2</v>
      </c>
      <c r="R141">
        <v>12</v>
      </c>
      <c r="S141" s="5">
        <f>R141/R143</f>
        <v>4.0816326530612242E-2</v>
      </c>
      <c r="T141" s="11">
        <f>12/$T$3</f>
        <v>4.0816326530612242E-2</v>
      </c>
      <c r="V141">
        <v>33</v>
      </c>
      <c r="W141" s="5">
        <f>V141/V143</f>
        <v>7.9326923076923073E-2</v>
      </c>
      <c r="X141" s="11">
        <f>33/$X$3</f>
        <v>7.9326923076923073E-2</v>
      </c>
      <c r="Z141">
        <v>0</v>
      </c>
      <c r="AA141" s="5">
        <f>Z141/Z143</f>
        <v>0</v>
      </c>
      <c r="AB141" s="11">
        <f>0/$AB$3</f>
        <v>0</v>
      </c>
      <c r="AD141">
        <v>87</v>
      </c>
      <c r="AE141" s="5">
        <f>AD141/AD143</f>
        <v>0.17399999999999999</v>
      </c>
      <c r="AF141" s="5">
        <f>87/$AF$3</f>
        <v>0.17399999999999999</v>
      </c>
      <c r="AH141">
        <v>110</v>
      </c>
      <c r="AI141" s="5">
        <f>AH141/AH143</f>
        <v>0.22</v>
      </c>
      <c r="AJ141" s="5">
        <f>110/$AJ$3</f>
        <v>0.22</v>
      </c>
      <c r="AL141">
        <v>43</v>
      </c>
      <c r="AM141" s="5">
        <f>AL141/AL143</f>
        <v>0.25443786982248523</v>
      </c>
      <c r="AN141" s="10">
        <f>43/$AN$3</f>
        <v>0.25443786982248523</v>
      </c>
      <c r="AP141">
        <v>64</v>
      </c>
      <c r="AQ141" s="5">
        <f>AP141/AP143</f>
        <v>0.20578778135048231</v>
      </c>
      <c r="AR141" s="5">
        <f>64/$AR$3</f>
        <v>0.20578778135048231</v>
      </c>
      <c r="AT141">
        <v>64</v>
      </c>
      <c r="AU141" s="5">
        <f>AT141/AT143</f>
        <v>0.1641025641025641</v>
      </c>
      <c r="AV141" s="5">
        <f>64/$AV$3</f>
        <v>0.1641025641025641</v>
      </c>
      <c r="AX141">
        <v>26</v>
      </c>
      <c r="AY141" s="5">
        <f>AX141/AX143</f>
        <v>0.2</v>
      </c>
      <c r="AZ141" s="5">
        <f>26/$AZ$3</f>
        <v>0.2</v>
      </c>
      <c r="BB141">
        <v>106</v>
      </c>
      <c r="BC141" s="5">
        <f>BB141/BB143</f>
        <v>0.26108374384236455</v>
      </c>
      <c r="BD141" s="10">
        <f>106/$BD$3</f>
        <v>0.26108374384236455</v>
      </c>
      <c r="BE141" s="12"/>
      <c r="BF141">
        <v>60</v>
      </c>
      <c r="BG141" s="5">
        <f>BF141/BF143</f>
        <v>0.16129032258064516</v>
      </c>
      <c r="BH141" s="5">
        <f>60/$BH$3</f>
        <v>0.16129032258064516</v>
      </c>
      <c r="BJ141">
        <v>31</v>
      </c>
      <c r="BK141" s="5">
        <f>BJ141/BJ143</f>
        <v>0.13963963963963963</v>
      </c>
      <c r="BL141" s="11">
        <f>31/$BL$3</f>
        <v>0.13963963963963963</v>
      </c>
      <c r="BN141">
        <v>89</v>
      </c>
      <c r="BO141" s="5">
        <f>BN141/BN143</f>
        <v>0.23421052631578948</v>
      </c>
      <c r="BP141" s="5">
        <f>89/$BP$3</f>
        <v>0.23421052631578948</v>
      </c>
      <c r="BR141">
        <v>65</v>
      </c>
      <c r="BS141" s="5">
        <f>BR141/BR143</f>
        <v>0.17567567567567569</v>
      </c>
      <c r="BT141" s="5">
        <f>65/$BT$3</f>
        <v>0.17567567567567569</v>
      </c>
      <c r="BV141">
        <v>43</v>
      </c>
      <c r="BW141" s="5">
        <f>BV141/BV143</f>
        <v>0.17199999999999999</v>
      </c>
      <c r="BX141" s="5">
        <f>43/$BX$3</f>
        <v>0.17199999999999999</v>
      </c>
      <c r="BZ141">
        <v>46</v>
      </c>
      <c r="CA141" s="5">
        <f>BZ141/BZ143</f>
        <v>0.184</v>
      </c>
      <c r="CB141" s="5">
        <f>46/$CB$3</f>
        <v>0.184</v>
      </c>
      <c r="CD141">
        <v>47</v>
      </c>
      <c r="CE141" s="5">
        <f>CD141/CD143</f>
        <v>0.22380952380952382</v>
      </c>
      <c r="CF141" s="5">
        <f>47/$CF$3</f>
        <v>0.22380952380952382</v>
      </c>
      <c r="CH141">
        <v>49</v>
      </c>
      <c r="CI141" s="5">
        <f>CH141/CH143</f>
        <v>0.22272727272727272</v>
      </c>
      <c r="CJ141" s="5">
        <f>49/$CJ$3</f>
        <v>0.22272727272727272</v>
      </c>
      <c r="CL141">
        <v>55</v>
      </c>
      <c r="CM141" s="5">
        <f>CL141/CL143</f>
        <v>0.171875</v>
      </c>
      <c r="CN141" s="5">
        <f>55/$CN$3</f>
        <v>0.171875</v>
      </c>
    </row>
    <row r="142" spans="1:92" x14ac:dyDescent="0.25">
      <c r="A142" s="1" t="s">
        <v>12</v>
      </c>
      <c r="B142">
        <v>0</v>
      </c>
      <c r="C142" s="5">
        <f>B142/B143</f>
        <v>0</v>
      </c>
      <c r="D142" s="5">
        <f>0/$D$3</f>
        <v>0</v>
      </c>
      <c r="F142">
        <v>0</v>
      </c>
      <c r="G142" s="5">
        <f>F142/F143</f>
        <v>0</v>
      </c>
      <c r="H142" s="5">
        <f>0/$H$3</f>
        <v>0</v>
      </c>
      <c r="J142">
        <v>0</v>
      </c>
      <c r="K142" s="5">
        <f>J142/J143</f>
        <v>0</v>
      </c>
      <c r="L142" s="5">
        <f>0/$L$3</f>
        <v>0</v>
      </c>
      <c r="N142">
        <v>0</v>
      </c>
      <c r="O142" s="5">
        <f>N142/N143</f>
        <v>0</v>
      </c>
      <c r="P142" s="5">
        <f>0/$P$3</f>
        <v>0</v>
      </c>
      <c r="R142">
        <v>0</v>
      </c>
      <c r="S142" s="5">
        <f>R142/R143</f>
        <v>0</v>
      </c>
      <c r="T142" s="5">
        <f>0/$T$3</f>
        <v>0</v>
      </c>
      <c r="V142">
        <v>0</v>
      </c>
      <c r="W142" s="5">
        <f>V142/V143</f>
        <v>0</v>
      </c>
      <c r="X142" s="5">
        <f>0/$X$3</f>
        <v>0</v>
      </c>
      <c r="Z142">
        <v>0</v>
      </c>
      <c r="AA142" s="5">
        <f>Z142/Z143</f>
        <v>0</v>
      </c>
      <c r="AB142" s="5">
        <f>0/$AB$3</f>
        <v>0</v>
      </c>
      <c r="AD142">
        <v>0</v>
      </c>
      <c r="AE142" s="5">
        <f>AD142/AD143</f>
        <v>0</v>
      </c>
      <c r="AF142" s="5">
        <f>0/$AF$3</f>
        <v>0</v>
      </c>
      <c r="AH142">
        <v>0</v>
      </c>
      <c r="AI142" s="5">
        <f>AH142/AH143</f>
        <v>0</v>
      </c>
      <c r="AJ142" s="5">
        <f>0/$AJ$3</f>
        <v>0</v>
      </c>
      <c r="AL142">
        <v>0</v>
      </c>
      <c r="AM142" s="5">
        <f>AL142/AL143</f>
        <v>0</v>
      </c>
      <c r="AN142" s="5">
        <f>0/$AN$3</f>
        <v>0</v>
      </c>
      <c r="AP142">
        <v>0</v>
      </c>
      <c r="AQ142" s="5">
        <f>AP142/AP143</f>
        <v>0</v>
      </c>
      <c r="AR142" s="5">
        <f>0/$AR$3</f>
        <v>0</v>
      </c>
      <c r="AT142">
        <v>0</v>
      </c>
      <c r="AU142" s="5">
        <f>AT142/AT143</f>
        <v>0</v>
      </c>
      <c r="AV142" s="5">
        <f>0/$AV$3</f>
        <v>0</v>
      </c>
      <c r="AX142">
        <v>0</v>
      </c>
      <c r="AY142" s="5">
        <f>AX142/AX143</f>
        <v>0</v>
      </c>
      <c r="AZ142" s="5">
        <f>0/$AZ$3</f>
        <v>0</v>
      </c>
      <c r="BB142">
        <v>0</v>
      </c>
      <c r="BC142" s="5">
        <f>BB142/BB143</f>
        <v>0</v>
      </c>
      <c r="BD142" s="5">
        <f>0/$BD$3</f>
        <v>0</v>
      </c>
      <c r="BF142">
        <v>0</v>
      </c>
      <c r="BG142" s="5">
        <f>BF142/BF143</f>
        <v>0</v>
      </c>
      <c r="BH142" s="5">
        <f>0/$BH$3</f>
        <v>0</v>
      </c>
      <c r="BJ142">
        <v>0</v>
      </c>
      <c r="BK142" s="5">
        <f>BJ142/BJ143</f>
        <v>0</v>
      </c>
      <c r="BL142" s="5">
        <f>0/$BL$3</f>
        <v>0</v>
      </c>
      <c r="BN142">
        <v>0</v>
      </c>
      <c r="BO142" s="5">
        <f>BN142/BN143</f>
        <v>0</v>
      </c>
      <c r="BP142" s="5">
        <f>0/$BP$3</f>
        <v>0</v>
      </c>
      <c r="BR142">
        <v>0</v>
      </c>
      <c r="BS142" s="5">
        <f>BR142/BR143</f>
        <v>0</v>
      </c>
      <c r="BT142" s="5">
        <f>0/$BT$3</f>
        <v>0</v>
      </c>
      <c r="BV142">
        <v>0</v>
      </c>
      <c r="BW142" s="5">
        <f>BV142/BV143</f>
        <v>0</v>
      </c>
      <c r="BX142" s="5">
        <f>0/$BX$3</f>
        <v>0</v>
      </c>
      <c r="BZ142">
        <v>0</v>
      </c>
      <c r="CA142" s="5">
        <f>BZ142/BZ143</f>
        <v>0</v>
      </c>
      <c r="CB142" s="5">
        <f>0/$CB$3</f>
        <v>0</v>
      </c>
      <c r="CD142">
        <v>0</v>
      </c>
      <c r="CE142" s="5">
        <f>CD142/CD143</f>
        <v>0</v>
      </c>
      <c r="CF142" s="5">
        <f>0/$CF$3</f>
        <v>0</v>
      </c>
      <c r="CH142">
        <v>0</v>
      </c>
      <c r="CI142" s="5">
        <f>CH142/CH143</f>
        <v>0</v>
      </c>
      <c r="CJ142" s="5">
        <f>0/$CJ$3</f>
        <v>0</v>
      </c>
      <c r="CL142">
        <v>0</v>
      </c>
      <c r="CM142" s="5">
        <f>CL142/CL143</f>
        <v>0</v>
      </c>
      <c r="CN142" s="5">
        <f>0/$CN$3</f>
        <v>0</v>
      </c>
    </row>
    <row r="143" spans="1:92" s="6" customFormat="1" x14ac:dyDescent="0.25">
      <c r="A143" s="7" t="s">
        <v>13</v>
      </c>
      <c r="B143" s="6">
        <v>1000</v>
      </c>
      <c r="F143" s="6">
        <v>472</v>
      </c>
      <c r="J143" s="6">
        <v>285</v>
      </c>
      <c r="N143" s="6">
        <v>232</v>
      </c>
      <c r="R143" s="6">
        <v>294</v>
      </c>
      <c r="V143" s="6">
        <v>416</v>
      </c>
      <c r="Z143" s="6">
        <v>420</v>
      </c>
      <c r="AD143" s="6">
        <v>500</v>
      </c>
      <c r="AH143" s="6">
        <v>500</v>
      </c>
      <c r="AL143" s="6">
        <v>169</v>
      </c>
      <c r="AP143" s="6">
        <v>311</v>
      </c>
      <c r="AT143" s="6">
        <v>390</v>
      </c>
      <c r="AX143" s="6">
        <v>130</v>
      </c>
      <c r="BB143" s="6">
        <v>406</v>
      </c>
      <c r="BF143" s="6">
        <v>372</v>
      </c>
      <c r="BJ143" s="6">
        <v>222</v>
      </c>
      <c r="BN143" s="6">
        <v>380</v>
      </c>
      <c r="BR143" s="6">
        <v>370</v>
      </c>
      <c r="BV143" s="6">
        <v>250</v>
      </c>
      <c r="BZ143" s="6">
        <v>250</v>
      </c>
      <c r="CD143" s="6">
        <v>210</v>
      </c>
      <c r="CH143" s="6">
        <v>220</v>
      </c>
      <c r="CL143" s="6">
        <v>320</v>
      </c>
    </row>
    <row r="144" spans="1:92" hidden="1" x14ac:dyDescent="0.25">
      <c r="A144" s="8" t="s">
        <v>14</v>
      </c>
      <c r="B144">
        <v>0</v>
      </c>
      <c r="F144">
        <v>0</v>
      </c>
      <c r="J144">
        <v>0</v>
      </c>
      <c r="N144">
        <v>0</v>
      </c>
      <c r="R144">
        <v>0</v>
      </c>
      <c r="V144">
        <v>0</v>
      </c>
      <c r="Z144">
        <v>0</v>
      </c>
      <c r="AD144">
        <v>0</v>
      </c>
      <c r="AH144">
        <v>0</v>
      </c>
      <c r="AL144">
        <v>0</v>
      </c>
      <c r="AP144">
        <v>0</v>
      </c>
      <c r="AT144">
        <v>0</v>
      </c>
      <c r="AX144">
        <v>0</v>
      </c>
      <c r="BB144">
        <v>0</v>
      </c>
      <c r="BF144">
        <v>0</v>
      </c>
      <c r="BJ144">
        <v>0</v>
      </c>
      <c r="BN144">
        <v>0</v>
      </c>
      <c r="BR144">
        <v>0</v>
      </c>
      <c r="BV144">
        <v>0</v>
      </c>
      <c r="BZ144">
        <v>0</v>
      </c>
      <c r="CD144">
        <v>0</v>
      </c>
      <c r="CH144">
        <v>0</v>
      </c>
      <c r="CL144">
        <v>0</v>
      </c>
    </row>
    <row r="145" spans="1:92" hidden="1" x14ac:dyDescent="0.25">
      <c r="A145" s="8" t="s">
        <v>15</v>
      </c>
      <c r="B145">
        <v>0</v>
      </c>
      <c r="F145">
        <v>0</v>
      </c>
      <c r="J145">
        <v>0</v>
      </c>
      <c r="N145">
        <v>0</v>
      </c>
      <c r="R145">
        <v>0</v>
      </c>
      <c r="V145">
        <v>0</v>
      </c>
      <c r="Z145">
        <v>0</v>
      </c>
      <c r="AD145">
        <v>0</v>
      </c>
      <c r="AH145">
        <v>0</v>
      </c>
      <c r="AL145">
        <v>0</v>
      </c>
      <c r="AP145">
        <v>0</v>
      </c>
      <c r="AT145">
        <v>0</v>
      </c>
      <c r="AX145">
        <v>0</v>
      </c>
      <c r="BB145">
        <v>0</v>
      </c>
      <c r="BF145">
        <v>0</v>
      </c>
      <c r="BJ145">
        <v>0</v>
      </c>
      <c r="BN145">
        <v>0</v>
      </c>
      <c r="BR145">
        <v>0</v>
      </c>
      <c r="BV145">
        <v>0</v>
      </c>
      <c r="BZ145">
        <v>0</v>
      </c>
      <c r="CD145">
        <v>0</v>
      </c>
      <c r="CH145">
        <v>0</v>
      </c>
      <c r="CL145">
        <v>0</v>
      </c>
    </row>
    <row r="147" spans="1:92" x14ac:dyDescent="0.25">
      <c r="AN147" s="2" t="s">
        <v>5</v>
      </c>
      <c r="AR147" s="2" t="s">
        <v>6</v>
      </c>
      <c r="AV147" s="2" t="s">
        <v>7</v>
      </c>
      <c r="AZ147" s="2" t="s">
        <v>8</v>
      </c>
      <c r="BD147" s="2" t="s">
        <v>5</v>
      </c>
      <c r="BH147" s="2" t="s">
        <v>6</v>
      </c>
      <c r="BL147" s="2" t="s">
        <v>7</v>
      </c>
      <c r="BP147" s="2" t="s">
        <v>5</v>
      </c>
      <c r="BT147" s="2" t="s">
        <v>6</v>
      </c>
      <c r="BX147" s="2" t="s">
        <v>7</v>
      </c>
      <c r="CB147" s="2" t="s">
        <v>5</v>
      </c>
      <c r="CF147" s="2" t="s">
        <v>6</v>
      </c>
      <c r="CJ147" s="2" t="s">
        <v>7</v>
      </c>
      <c r="CN147" s="2" t="s">
        <v>8</v>
      </c>
    </row>
    <row r="148" spans="1:92" s="3" customFormat="1" x14ac:dyDescent="0.25">
      <c r="A148" s="9" t="str">
        <f>HYPERLINK("#ztrac_brand!A1","Kterou **značku** si vybavíte, když vidíte tuto osobnost?")</f>
        <v>Kterou **značku** si vybavíte, když vidíte tuto osobnost?</v>
      </c>
      <c r="D148" s="4" t="s">
        <v>10</v>
      </c>
      <c r="H148" s="4" t="s">
        <v>10</v>
      </c>
      <c r="L148" s="4" t="s">
        <v>10</v>
      </c>
      <c r="P148" s="4" t="s">
        <v>10</v>
      </c>
      <c r="T148" s="4" t="s">
        <v>10</v>
      </c>
      <c r="X148" s="4" t="s">
        <v>10</v>
      </c>
      <c r="AB148" s="4" t="s">
        <v>10</v>
      </c>
      <c r="AF148" s="4" t="s">
        <v>10</v>
      </c>
      <c r="AJ148" s="4" t="s">
        <v>10</v>
      </c>
      <c r="AN148" s="4" t="s">
        <v>10</v>
      </c>
      <c r="AR148" s="4" t="s">
        <v>10</v>
      </c>
      <c r="AV148" s="4" t="s">
        <v>10</v>
      </c>
      <c r="AZ148" s="4" t="s">
        <v>10</v>
      </c>
      <c r="BD148" s="4" t="s">
        <v>10</v>
      </c>
      <c r="BH148" s="4" t="s">
        <v>10</v>
      </c>
      <c r="BL148" s="4" t="s">
        <v>10</v>
      </c>
      <c r="BP148" s="4" t="s">
        <v>10</v>
      </c>
      <c r="BT148" s="4" t="s">
        <v>10</v>
      </c>
      <c r="BX148" s="4" t="s">
        <v>10</v>
      </c>
      <c r="CB148" s="4" t="s">
        <v>10</v>
      </c>
      <c r="CF148" s="4" t="s">
        <v>10</v>
      </c>
      <c r="CJ148" s="4" t="s">
        <v>10</v>
      </c>
      <c r="CN148" s="4" t="s">
        <v>10</v>
      </c>
    </row>
    <row r="149" spans="1:92" x14ac:dyDescent="0.25">
      <c r="A149" s="1" t="s">
        <v>200</v>
      </c>
      <c r="B149">
        <v>314</v>
      </c>
      <c r="C149" s="5">
        <f>B149/B151</f>
        <v>0.314</v>
      </c>
      <c r="D149" s="5">
        <f>314/$D$3</f>
        <v>0.314</v>
      </c>
      <c r="F149">
        <v>161</v>
      </c>
      <c r="G149" s="5">
        <f>F149/F151</f>
        <v>0.34110169491525422</v>
      </c>
      <c r="H149" s="5">
        <f>161/$H$3</f>
        <v>0.34110169491525422</v>
      </c>
      <c r="J149">
        <v>107</v>
      </c>
      <c r="K149" s="5">
        <f>J149/J151</f>
        <v>0.37543859649122807</v>
      </c>
      <c r="L149" s="10">
        <f>107/$L$3</f>
        <v>0.37543859649122807</v>
      </c>
      <c r="N149">
        <v>92</v>
      </c>
      <c r="O149" s="5">
        <f>N149/N151</f>
        <v>0.39655172413793105</v>
      </c>
      <c r="P149" s="10">
        <f>92/$P$3</f>
        <v>0.39655172413793105</v>
      </c>
      <c r="R149">
        <v>112</v>
      </c>
      <c r="S149" s="5">
        <f>R149/R151</f>
        <v>0.38095238095238093</v>
      </c>
      <c r="T149" s="10">
        <f>112/$T$3</f>
        <v>0.38095238095238093</v>
      </c>
      <c r="V149">
        <v>149</v>
      </c>
      <c r="W149" s="5">
        <f>V149/V151</f>
        <v>0.35817307692307693</v>
      </c>
      <c r="X149" s="5">
        <f>149/$X$3</f>
        <v>0.35817307692307693</v>
      </c>
      <c r="Z149">
        <v>150</v>
      </c>
      <c r="AA149" s="5">
        <f>Z149/Z151</f>
        <v>0.35714285714285715</v>
      </c>
      <c r="AB149" s="5">
        <f>150/$AB$3</f>
        <v>0.35714285714285715</v>
      </c>
      <c r="AD149">
        <v>157</v>
      </c>
      <c r="AE149" s="5">
        <f>AD149/AD151</f>
        <v>0.314</v>
      </c>
      <c r="AF149" s="5">
        <f>157/$AF$3</f>
        <v>0.314</v>
      </c>
      <c r="AH149">
        <v>157</v>
      </c>
      <c r="AI149" s="5">
        <f>AH149/AH151</f>
        <v>0.314</v>
      </c>
      <c r="AJ149" s="5">
        <f>157/$AJ$3</f>
        <v>0.314</v>
      </c>
      <c r="AL149">
        <v>56</v>
      </c>
      <c r="AM149" s="5">
        <f>AL149/AL151</f>
        <v>0.33136094674556216</v>
      </c>
      <c r="AN149" s="5">
        <f>56/$AN$3</f>
        <v>0.33136094674556216</v>
      </c>
      <c r="AP149">
        <v>98</v>
      </c>
      <c r="AQ149" s="5">
        <f>AP149/AP151</f>
        <v>0.31511254019292606</v>
      </c>
      <c r="AR149" s="5">
        <f>98/$AR$3</f>
        <v>0.31511254019292606</v>
      </c>
      <c r="AT149">
        <v>117</v>
      </c>
      <c r="AU149" s="5">
        <f>AT149/AT151</f>
        <v>0.3</v>
      </c>
      <c r="AV149" s="5">
        <f>117/$AV$3</f>
        <v>0.3</v>
      </c>
      <c r="AX149">
        <v>43</v>
      </c>
      <c r="AY149" s="5">
        <f>AX149/AX151</f>
        <v>0.33076923076923076</v>
      </c>
      <c r="AZ149" s="5">
        <f>43/$AZ$3</f>
        <v>0.33076923076923076</v>
      </c>
      <c r="BB149">
        <v>121</v>
      </c>
      <c r="BC149" s="5">
        <f>BB149/BB151</f>
        <v>0.29802955665024633</v>
      </c>
      <c r="BD149" s="5">
        <f>121/$BD$3</f>
        <v>0.29802955665024633</v>
      </c>
      <c r="BF149">
        <v>124</v>
      </c>
      <c r="BG149" s="5">
        <f>BF149/BF151</f>
        <v>0.33333333333333331</v>
      </c>
      <c r="BH149" s="5">
        <f>124/$BH$3</f>
        <v>0.33333333333333331</v>
      </c>
      <c r="BJ149">
        <v>69</v>
      </c>
      <c r="BK149" s="5">
        <f>BJ149/BJ151</f>
        <v>0.3108108108108108</v>
      </c>
      <c r="BL149" s="5">
        <f>69/$BL$3</f>
        <v>0.3108108108108108</v>
      </c>
      <c r="BN149">
        <v>116</v>
      </c>
      <c r="BO149" s="5">
        <f>BN149/BN151</f>
        <v>0.30526315789473685</v>
      </c>
      <c r="BP149" s="5">
        <f>116/$BP$3</f>
        <v>0.30526315789473685</v>
      </c>
      <c r="BR149">
        <v>127</v>
      </c>
      <c r="BS149" s="5">
        <f>BR149/BR151</f>
        <v>0.34324324324324323</v>
      </c>
      <c r="BT149" s="5">
        <f>127/$BT$3</f>
        <v>0.34324324324324323</v>
      </c>
      <c r="BV149">
        <v>71</v>
      </c>
      <c r="BW149" s="5">
        <f>BV149/BV151</f>
        <v>0.28399999999999997</v>
      </c>
      <c r="BX149" s="5">
        <f>71/$BX$3</f>
        <v>0.28399999999999997</v>
      </c>
      <c r="BZ149">
        <v>71</v>
      </c>
      <c r="CA149" s="5">
        <f>BZ149/BZ151</f>
        <v>0.28399999999999997</v>
      </c>
      <c r="CB149" s="5">
        <f>71/$CB$3</f>
        <v>0.28399999999999997</v>
      </c>
      <c r="CD149">
        <v>52</v>
      </c>
      <c r="CE149" s="5">
        <f>CD149/CD151</f>
        <v>0.24761904761904763</v>
      </c>
      <c r="CF149" s="11">
        <f>52/$CF$3</f>
        <v>0.24761904761904763</v>
      </c>
      <c r="CH149">
        <v>81</v>
      </c>
      <c r="CI149" s="5">
        <f>CH149/CH151</f>
        <v>0.36818181818181817</v>
      </c>
      <c r="CJ149" s="10">
        <f>81/$CJ$3</f>
        <v>0.36818181818181817</v>
      </c>
      <c r="CL149">
        <v>110</v>
      </c>
      <c r="CM149" s="5">
        <f>CL149/CL151</f>
        <v>0.34375</v>
      </c>
      <c r="CN149" s="5">
        <f>110/$CN$3</f>
        <v>0.34375</v>
      </c>
    </row>
    <row r="150" spans="1:92" x14ac:dyDescent="0.25">
      <c r="A150" s="1" t="s">
        <v>12</v>
      </c>
      <c r="B150">
        <v>693</v>
      </c>
      <c r="C150" s="5">
        <f>B150/B151</f>
        <v>0.69299999999999995</v>
      </c>
      <c r="D150" s="5">
        <f>693/$D$3</f>
        <v>0.69299999999999995</v>
      </c>
      <c r="F150">
        <v>315</v>
      </c>
      <c r="G150" s="5">
        <f>F150/F151</f>
        <v>0.6673728813559322</v>
      </c>
      <c r="H150" s="5">
        <f>315/$H$3</f>
        <v>0.6673728813559322</v>
      </c>
      <c r="J150">
        <v>183</v>
      </c>
      <c r="K150" s="5">
        <f>J150/J151</f>
        <v>0.64210526315789473</v>
      </c>
      <c r="L150" s="11">
        <f>183/$L$3</f>
        <v>0.64210526315789473</v>
      </c>
      <c r="N150">
        <v>143</v>
      </c>
      <c r="O150" s="5">
        <f>N150/N151</f>
        <v>0.61637931034482762</v>
      </c>
      <c r="P150" s="11">
        <f>143/$P$3</f>
        <v>0.61637931034482762</v>
      </c>
      <c r="R150">
        <v>186</v>
      </c>
      <c r="S150" s="5">
        <f>R150/R151</f>
        <v>0.63265306122448983</v>
      </c>
      <c r="T150" s="11">
        <f>186/$T$3</f>
        <v>0.63265306122448983</v>
      </c>
      <c r="V150">
        <v>271</v>
      </c>
      <c r="W150" s="5">
        <f>V150/V151</f>
        <v>0.65144230769230771</v>
      </c>
      <c r="X150" s="5">
        <f>271/$X$3</f>
        <v>0.65144230769230771</v>
      </c>
      <c r="Z150">
        <v>274</v>
      </c>
      <c r="AA150" s="5">
        <f>Z150/Z151</f>
        <v>0.65238095238095239</v>
      </c>
      <c r="AB150" s="5">
        <f>274/$AB$3</f>
        <v>0.65238095238095239</v>
      </c>
      <c r="AD150">
        <v>347</v>
      </c>
      <c r="AE150" s="5">
        <f>AD150/AD151</f>
        <v>0.69399999999999995</v>
      </c>
      <c r="AF150" s="5">
        <f>347/$AF$3</f>
        <v>0.69399999999999995</v>
      </c>
      <c r="AH150">
        <v>346</v>
      </c>
      <c r="AI150" s="5">
        <f>AH150/AH151</f>
        <v>0.69199999999999995</v>
      </c>
      <c r="AJ150" s="5">
        <f>346/$AJ$3</f>
        <v>0.69199999999999995</v>
      </c>
      <c r="AL150">
        <v>113</v>
      </c>
      <c r="AM150" s="5">
        <f>AL150/AL151</f>
        <v>0.66863905325443784</v>
      </c>
      <c r="AN150" s="5">
        <f>113/$AN$3</f>
        <v>0.66863905325443784</v>
      </c>
      <c r="AP150">
        <v>217</v>
      </c>
      <c r="AQ150" s="5">
        <f>AP150/AP151</f>
        <v>0.69774919614147912</v>
      </c>
      <c r="AR150" s="5">
        <f>217/$AR$3</f>
        <v>0.69774919614147912</v>
      </c>
      <c r="AT150">
        <v>274</v>
      </c>
      <c r="AU150" s="5">
        <f>AT150/AT151</f>
        <v>0.70256410256410251</v>
      </c>
      <c r="AV150" s="5">
        <f>274/$AV$3</f>
        <v>0.70256410256410251</v>
      </c>
      <c r="AX150">
        <v>89</v>
      </c>
      <c r="AY150" s="5">
        <f>AX150/AX151</f>
        <v>0.68461538461538463</v>
      </c>
      <c r="AZ150" s="5">
        <f>89/$AZ$3</f>
        <v>0.68461538461538463</v>
      </c>
      <c r="BB150">
        <v>289</v>
      </c>
      <c r="BC150" s="5">
        <f>BB150/BB151</f>
        <v>0.71182266009852213</v>
      </c>
      <c r="BD150" s="5">
        <f>289/$BD$3</f>
        <v>0.71182266009852213</v>
      </c>
      <c r="BF150">
        <v>250</v>
      </c>
      <c r="BG150" s="5">
        <f>BF150/BF151</f>
        <v>0.67204301075268813</v>
      </c>
      <c r="BH150" s="5">
        <f>250/$BH$3</f>
        <v>0.67204301075268813</v>
      </c>
      <c r="BJ150">
        <v>154</v>
      </c>
      <c r="BK150" s="5">
        <f>BJ150/BJ151</f>
        <v>0.69369369369369371</v>
      </c>
      <c r="BL150" s="5">
        <f>154/$BL$3</f>
        <v>0.69369369369369371</v>
      </c>
      <c r="BN150">
        <v>267</v>
      </c>
      <c r="BO150" s="5">
        <f>BN150/BN151</f>
        <v>0.70263157894736838</v>
      </c>
      <c r="BP150" s="5">
        <f>267/$BP$3</f>
        <v>0.70263157894736838</v>
      </c>
      <c r="BR150">
        <v>246</v>
      </c>
      <c r="BS150" s="5">
        <f>BR150/BR151</f>
        <v>0.66486486486486485</v>
      </c>
      <c r="BT150" s="5">
        <f>246/$BT$3</f>
        <v>0.66486486486486485</v>
      </c>
      <c r="BV150">
        <v>180</v>
      </c>
      <c r="BW150" s="5">
        <f>BV150/BV151</f>
        <v>0.72</v>
      </c>
      <c r="BX150" s="5">
        <f>180/$BX$3</f>
        <v>0.72</v>
      </c>
      <c r="BZ150">
        <v>179</v>
      </c>
      <c r="CA150" s="5">
        <f>BZ150/BZ151</f>
        <v>0.71599999999999997</v>
      </c>
      <c r="CB150" s="5">
        <f>179/$CB$3</f>
        <v>0.71599999999999997</v>
      </c>
      <c r="CD150">
        <v>158</v>
      </c>
      <c r="CE150" s="5">
        <f>CD150/CD151</f>
        <v>0.75238095238095237</v>
      </c>
      <c r="CF150" s="10">
        <f>158/$CF$3</f>
        <v>0.75238095238095237</v>
      </c>
      <c r="CH150">
        <v>140</v>
      </c>
      <c r="CI150" s="5">
        <f>CH150/CH151</f>
        <v>0.63636363636363635</v>
      </c>
      <c r="CJ150" s="11">
        <f>140/$CJ$3</f>
        <v>0.63636363636363635</v>
      </c>
      <c r="CL150">
        <v>216</v>
      </c>
      <c r="CM150" s="5">
        <f>CL150/CL151</f>
        <v>0.67500000000000004</v>
      </c>
      <c r="CN150" s="5">
        <f>216/$CN$3</f>
        <v>0.67500000000000004</v>
      </c>
    </row>
    <row r="151" spans="1:92" s="6" customFormat="1" x14ac:dyDescent="0.25">
      <c r="A151" s="7" t="s">
        <v>13</v>
      </c>
      <c r="B151" s="6">
        <v>1000</v>
      </c>
      <c r="F151" s="6">
        <v>472</v>
      </c>
      <c r="J151" s="6">
        <v>285</v>
      </c>
      <c r="N151" s="6">
        <v>232</v>
      </c>
      <c r="R151" s="6">
        <v>294</v>
      </c>
      <c r="V151" s="6">
        <v>416</v>
      </c>
      <c r="Z151" s="6">
        <v>420</v>
      </c>
      <c r="AD151" s="6">
        <v>500</v>
      </c>
      <c r="AH151" s="6">
        <v>500</v>
      </c>
      <c r="AL151" s="6">
        <v>169</v>
      </c>
      <c r="AP151" s="6">
        <v>311</v>
      </c>
      <c r="AT151" s="6">
        <v>390</v>
      </c>
      <c r="AX151" s="6">
        <v>130</v>
      </c>
      <c r="BB151" s="6">
        <v>406</v>
      </c>
      <c r="BF151" s="6">
        <v>372</v>
      </c>
      <c r="BJ151" s="6">
        <v>222</v>
      </c>
      <c r="BN151" s="6">
        <v>380</v>
      </c>
      <c r="BR151" s="6">
        <v>370</v>
      </c>
      <c r="BV151" s="6">
        <v>250</v>
      </c>
      <c r="BZ151" s="6">
        <v>250</v>
      </c>
      <c r="CD151" s="6">
        <v>210</v>
      </c>
      <c r="CH151" s="6">
        <v>220</v>
      </c>
      <c r="CL151" s="6">
        <v>320</v>
      </c>
    </row>
    <row r="152" spans="1:92" hidden="1" x14ac:dyDescent="0.25">
      <c r="A152" s="8" t="s">
        <v>14</v>
      </c>
      <c r="B152">
        <v>0</v>
      </c>
      <c r="F152">
        <v>0</v>
      </c>
      <c r="J152">
        <v>0</v>
      </c>
      <c r="N152">
        <v>0</v>
      </c>
      <c r="R152">
        <v>0</v>
      </c>
      <c r="V152">
        <v>0</v>
      </c>
      <c r="Z152">
        <v>0</v>
      </c>
      <c r="AD152">
        <v>0</v>
      </c>
      <c r="AH152">
        <v>0</v>
      </c>
      <c r="AL152">
        <v>0</v>
      </c>
      <c r="AP152">
        <v>0</v>
      </c>
      <c r="AT152">
        <v>0</v>
      </c>
      <c r="AX152">
        <v>0</v>
      </c>
      <c r="BB152">
        <v>0</v>
      </c>
      <c r="BF152">
        <v>0</v>
      </c>
      <c r="BJ152">
        <v>0</v>
      </c>
      <c r="BN152">
        <v>0</v>
      </c>
      <c r="BR152">
        <v>0</v>
      </c>
      <c r="BV152">
        <v>0</v>
      </c>
      <c r="BZ152">
        <v>0</v>
      </c>
      <c r="CD152">
        <v>0</v>
      </c>
      <c r="CH152">
        <v>0</v>
      </c>
      <c r="CL152">
        <v>0</v>
      </c>
    </row>
    <row r="153" spans="1:92" hidden="1" x14ac:dyDescent="0.25">
      <c r="A153" s="8" t="s">
        <v>15</v>
      </c>
      <c r="B153">
        <v>0</v>
      </c>
      <c r="F153">
        <v>0</v>
      </c>
      <c r="J153">
        <v>0</v>
      </c>
      <c r="N153">
        <v>0</v>
      </c>
      <c r="R153">
        <v>0</v>
      </c>
      <c r="V153">
        <v>0</v>
      </c>
      <c r="Z153">
        <v>0</v>
      </c>
      <c r="AD153">
        <v>0</v>
      </c>
      <c r="AH153">
        <v>0</v>
      </c>
      <c r="AL153">
        <v>0</v>
      </c>
      <c r="AP153">
        <v>0</v>
      </c>
      <c r="AT153">
        <v>0</v>
      </c>
      <c r="AX153">
        <v>0</v>
      </c>
      <c r="BB153">
        <v>0</v>
      </c>
      <c r="BF153">
        <v>0</v>
      </c>
      <c r="BJ153">
        <v>0</v>
      </c>
      <c r="BN153">
        <v>0</v>
      </c>
      <c r="BR153">
        <v>0</v>
      </c>
      <c r="BV153">
        <v>0</v>
      </c>
      <c r="BZ153">
        <v>0</v>
      </c>
      <c r="CD153">
        <v>0</v>
      </c>
      <c r="CH153">
        <v>0</v>
      </c>
      <c r="CL153">
        <v>0</v>
      </c>
    </row>
    <row r="155" spans="1:92" x14ac:dyDescent="0.25">
      <c r="AN155" s="2" t="s">
        <v>5</v>
      </c>
      <c r="AR155" s="2" t="s">
        <v>6</v>
      </c>
      <c r="AV155" s="2" t="s">
        <v>7</v>
      </c>
      <c r="AZ155" s="2" t="s">
        <v>8</v>
      </c>
      <c r="BD155" s="2" t="s">
        <v>5</v>
      </c>
      <c r="BH155" s="2" t="s">
        <v>6</v>
      </c>
      <c r="BL155" s="2" t="s">
        <v>7</v>
      </c>
      <c r="BP155" s="2" t="s">
        <v>5</v>
      </c>
      <c r="BT155" s="2" t="s">
        <v>6</v>
      </c>
      <c r="BX155" s="2" t="s">
        <v>7</v>
      </c>
      <c r="CB155" s="2" t="s">
        <v>5</v>
      </c>
      <c r="CF155" s="2" t="s">
        <v>6</v>
      </c>
      <c r="CJ155" s="2" t="s">
        <v>7</v>
      </c>
      <c r="CN155" s="2" t="s">
        <v>8</v>
      </c>
    </row>
    <row r="156" spans="1:92" s="3" customFormat="1" x14ac:dyDescent="0.25">
      <c r="A156" s="9" t="str">
        <f>HYPERLINK("#ztrac_emo!A1","Jaký máte pocit z této osobnosti?")</f>
        <v>Jaký máte pocit z této osobnosti?</v>
      </c>
      <c r="D156" s="4" t="s">
        <v>10</v>
      </c>
      <c r="H156" s="4" t="s">
        <v>10</v>
      </c>
      <c r="L156" s="4" t="s">
        <v>10</v>
      </c>
      <c r="P156" s="4" t="s">
        <v>10</v>
      </c>
      <c r="T156" s="4" t="s">
        <v>10</v>
      </c>
      <c r="X156" s="4" t="s">
        <v>10</v>
      </c>
      <c r="AB156" s="4" t="s">
        <v>10</v>
      </c>
      <c r="AF156" s="4" t="s">
        <v>10</v>
      </c>
      <c r="AJ156" s="4" t="s">
        <v>10</v>
      </c>
      <c r="AN156" s="4" t="s">
        <v>10</v>
      </c>
      <c r="AR156" s="4" t="s">
        <v>10</v>
      </c>
      <c r="AV156" s="4" t="s">
        <v>10</v>
      </c>
      <c r="AZ156" s="4" t="s">
        <v>10</v>
      </c>
      <c r="BD156" s="4" t="s">
        <v>10</v>
      </c>
      <c r="BH156" s="4" t="s">
        <v>10</v>
      </c>
      <c r="BL156" s="4" t="s">
        <v>10</v>
      </c>
      <c r="BP156" s="4" t="s">
        <v>10</v>
      </c>
      <c r="BT156" s="4" t="s">
        <v>10</v>
      </c>
      <c r="BX156" s="4" t="s">
        <v>10</v>
      </c>
      <c r="CB156" s="4" t="s">
        <v>10</v>
      </c>
      <c r="CF156" s="4" t="s">
        <v>10</v>
      </c>
      <c r="CJ156" s="4" t="s">
        <v>10</v>
      </c>
      <c r="CN156" s="4" t="s">
        <v>10</v>
      </c>
    </row>
    <row r="157" spans="1:92" x14ac:dyDescent="0.25">
      <c r="A157" s="1" t="s">
        <v>221</v>
      </c>
      <c r="B157">
        <v>94</v>
      </c>
      <c r="C157" s="5">
        <f>B157/B163</f>
        <v>9.4E-2</v>
      </c>
      <c r="D157" s="5">
        <f>94/$D$3</f>
        <v>9.4E-2</v>
      </c>
      <c r="F157">
        <v>49</v>
      </c>
      <c r="G157" s="5">
        <f>F157/F163</f>
        <v>0.1038135593220339</v>
      </c>
      <c r="H157" s="5">
        <f>49/$H$3</f>
        <v>0.1038135593220339</v>
      </c>
      <c r="J157">
        <v>27</v>
      </c>
      <c r="K157" s="5">
        <f>J157/J163</f>
        <v>9.4736842105263161E-2</v>
      </c>
      <c r="L157" s="5">
        <f>27/$L$3</f>
        <v>9.4736842105263161E-2</v>
      </c>
      <c r="N157">
        <v>27</v>
      </c>
      <c r="O157" s="5">
        <f>N157/N163</f>
        <v>0.11637931034482758</v>
      </c>
      <c r="P157" s="5">
        <f>27/$P$3</f>
        <v>0.11637931034482758</v>
      </c>
      <c r="R157">
        <v>28</v>
      </c>
      <c r="S157" s="5">
        <f>R157/R163</f>
        <v>9.5238095238095233E-2</v>
      </c>
      <c r="T157" s="5">
        <f>28/$T$3</f>
        <v>9.5238095238095233E-2</v>
      </c>
      <c r="V157">
        <v>47</v>
      </c>
      <c r="W157" s="5">
        <f>V157/V163</f>
        <v>0.11298076923076923</v>
      </c>
      <c r="X157" s="5">
        <f>47/$X$3</f>
        <v>0.11298076923076923</v>
      </c>
      <c r="Z157">
        <v>45</v>
      </c>
      <c r="AA157" s="5">
        <f>Z157/Z163</f>
        <v>0.10714285714285714</v>
      </c>
      <c r="AB157" s="5">
        <f>45/$AB$3</f>
        <v>0.10714285714285714</v>
      </c>
      <c r="AD157">
        <v>33</v>
      </c>
      <c r="AE157" s="5">
        <f>AD157/AD163</f>
        <v>6.6000000000000003E-2</v>
      </c>
      <c r="AF157" s="5">
        <f>33/$AF$3</f>
        <v>6.6000000000000003E-2</v>
      </c>
      <c r="AH157">
        <v>61</v>
      </c>
      <c r="AI157" s="5">
        <f>AH157/AH163</f>
        <v>0.122</v>
      </c>
      <c r="AJ157" s="5">
        <f>61/$AJ$3</f>
        <v>0.122</v>
      </c>
      <c r="AL157">
        <v>17</v>
      </c>
      <c r="AM157" s="5">
        <f>AL157/AL163</f>
        <v>0.10059171597633136</v>
      </c>
      <c r="AN157" s="5">
        <f>17/$AN$3</f>
        <v>0.10059171597633136</v>
      </c>
      <c r="AP157">
        <v>38</v>
      </c>
      <c r="AQ157" s="5">
        <f>AP157/AP163</f>
        <v>0.12218649517684887</v>
      </c>
      <c r="AR157" s="5">
        <f>38/$AR$3</f>
        <v>0.12218649517684887</v>
      </c>
      <c r="AS157" s="12"/>
      <c r="AT157">
        <v>33</v>
      </c>
      <c r="AU157" s="5">
        <f>AT157/AT163</f>
        <v>8.461538461538462E-2</v>
      </c>
      <c r="AV157" s="5">
        <f>33/$AV$3</f>
        <v>8.461538461538462E-2</v>
      </c>
      <c r="AX157">
        <v>6</v>
      </c>
      <c r="AY157" s="5">
        <f>AX157/AX163</f>
        <v>4.6153846153846156E-2</v>
      </c>
      <c r="AZ157" s="5">
        <f>6/$AZ$3</f>
        <v>4.6153846153846156E-2</v>
      </c>
      <c r="BB157">
        <v>44</v>
      </c>
      <c r="BC157" s="5">
        <f>BB157/BB163</f>
        <v>0.10837438423645321</v>
      </c>
      <c r="BD157" s="5">
        <f>44/$BD$3</f>
        <v>0.10837438423645321</v>
      </c>
      <c r="BF157">
        <v>38</v>
      </c>
      <c r="BG157" s="5">
        <f>BF157/BF163</f>
        <v>0.10215053763440861</v>
      </c>
      <c r="BH157" s="5">
        <f>38/$BH$3</f>
        <v>0.10215053763440861</v>
      </c>
      <c r="BJ157">
        <v>12</v>
      </c>
      <c r="BK157" s="5">
        <f>BJ157/BJ163</f>
        <v>5.4054054054054057E-2</v>
      </c>
      <c r="BL157" s="5">
        <f>12/$BL$3</f>
        <v>5.4054054054054057E-2</v>
      </c>
      <c r="BN157">
        <v>40</v>
      </c>
      <c r="BO157" s="5">
        <f>BN157/BN163</f>
        <v>0.10526315789473684</v>
      </c>
      <c r="BP157" s="5">
        <f>40/$BP$3</f>
        <v>0.10526315789473684</v>
      </c>
      <c r="BR157">
        <v>42</v>
      </c>
      <c r="BS157" s="5">
        <f>BR157/BR163</f>
        <v>0.11351351351351352</v>
      </c>
      <c r="BT157" s="5">
        <f>42/$BT$3</f>
        <v>0.11351351351351352</v>
      </c>
      <c r="BU157" s="12"/>
      <c r="BV157">
        <v>12</v>
      </c>
      <c r="BW157" s="5">
        <f>BV157/BV163</f>
        <v>4.8000000000000001E-2</v>
      </c>
      <c r="BX157" s="5">
        <f>12/$BX$3</f>
        <v>4.8000000000000001E-2</v>
      </c>
      <c r="BZ157">
        <v>28</v>
      </c>
      <c r="CA157" s="5">
        <f>BZ157/BZ163</f>
        <v>0.112</v>
      </c>
      <c r="CB157" s="5">
        <f>28/$CB$3</f>
        <v>0.112</v>
      </c>
      <c r="CD157">
        <v>25</v>
      </c>
      <c r="CE157" s="5">
        <f>CD157/CD163</f>
        <v>0.11904761904761904</v>
      </c>
      <c r="CF157" s="5">
        <f>25/$CF$3</f>
        <v>0.11904761904761904</v>
      </c>
      <c r="CH157">
        <v>18</v>
      </c>
      <c r="CI157" s="5">
        <f>CH157/CH163</f>
        <v>8.1818181818181818E-2</v>
      </c>
      <c r="CJ157" s="5">
        <f>18/$CJ$3</f>
        <v>8.1818181818181818E-2</v>
      </c>
      <c r="CL157">
        <v>23</v>
      </c>
      <c r="CM157" s="5">
        <f>CL157/CL163</f>
        <v>7.1874999999999994E-2</v>
      </c>
      <c r="CN157" s="5">
        <f>23/$CN$3</f>
        <v>7.1874999999999994E-2</v>
      </c>
    </row>
    <row r="158" spans="1:92" x14ac:dyDescent="0.25">
      <c r="A158" s="1" t="s">
        <v>201</v>
      </c>
      <c r="B158">
        <v>333</v>
      </c>
      <c r="C158" s="5">
        <f>B158/B163</f>
        <v>0.33300000000000002</v>
      </c>
      <c r="D158" s="5">
        <f>333/$D$3</f>
        <v>0.33300000000000002</v>
      </c>
      <c r="F158">
        <v>176</v>
      </c>
      <c r="G158" s="5">
        <f>F158/F163</f>
        <v>0.3728813559322034</v>
      </c>
      <c r="H158" s="5">
        <f>176/$H$3</f>
        <v>0.3728813559322034</v>
      </c>
      <c r="J158">
        <v>102</v>
      </c>
      <c r="K158" s="5">
        <f>J158/J163</f>
        <v>0.35789473684210527</v>
      </c>
      <c r="L158" s="5">
        <f>102/$L$3</f>
        <v>0.35789473684210527</v>
      </c>
      <c r="N158">
        <v>92</v>
      </c>
      <c r="O158" s="5">
        <f>N158/N163</f>
        <v>0.39655172413793105</v>
      </c>
      <c r="P158" s="10">
        <f>92/$P$3</f>
        <v>0.39655172413793105</v>
      </c>
      <c r="R158">
        <v>113</v>
      </c>
      <c r="S158" s="5">
        <f>R158/R163</f>
        <v>0.38435374149659862</v>
      </c>
      <c r="T158" s="10">
        <f>113/$T$3</f>
        <v>0.38435374149659862</v>
      </c>
      <c r="V158">
        <v>170</v>
      </c>
      <c r="W158" s="5">
        <f>V158/V163</f>
        <v>0.40865384615384615</v>
      </c>
      <c r="X158" s="10">
        <f>170/$X$3</f>
        <v>0.40865384615384615</v>
      </c>
      <c r="Z158">
        <v>159</v>
      </c>
      <c r="AA158" s="5">
        <f>Z158/Z163</f>
        <v>0.37857142857142856</v>
      </c>
      <c r="AB158" s="5">
        <f>159/$AB$3</f>
        <v>0.37857142857142856</v>
      </c>
      <c r="AD158">
        <v>127</v>
      </c>
      <c r="AE158" s="5">
        <f>AD158/AD163</f>
        <v>0.254</v>
      </c>
      <c r="AF158" s="11">
        <f>127/$AF$3</f>
        <v>0.254</v>
      </c>
      <c r="AH158">
        <v>206</v>
      </c>
      <c r="AI158" s="5">
        <f>AH158/AH163</f>
        <v>0.41199999999999998</v>
      </c>
      <c r="AJ158" s="10">
        <f>206/$AJ$3</f>
        <v>0.41199999999999998</v>
      </c>
      <c r="AL158">
        <v>49</v>
      </c>
      <c r="AM158" s="5">
        <f>AL158/AL163</f>
        <v>0.28994082840236685</v>
      </c>
      <c r="AN158" s="5">
        <f>49/$AN$3</f>
        <v>0.28994082840236685</v>
      </c>
      <c r="AP158">
        <v>87</v>
      </c>
      <c r="AQ158" s="5">
        <f>AP158/AP163</f>
        <v>0.27974276527331188</v>
      </c>
      <c r="AR158" s="11">
        <f>87/$AR$3</f>
        <v>0.27974276527331188</v>
      </c>
      <c r="AT158">
        <v>137</v>
      </c>
      <c r="AU158" s="5">
        <f>AT158/AT163</f>
        <v>0.35128205128205126</v>
      </c>
      <c r="AV158" s="5">
        <f>137/$AV$3</f>
        <v>0.35128205128205126</v>
      </c>
      <c r="AX158">
        <v>60</v>
      </c>
      <c r="AY158" s="5">
        <f>AX158/AX163</f>
        <v>0.46153846153846156</v>
      </c>
      <c r="AZ158" s="10">
        <f>60/$AZ$3</f>
        <v>0.46153846153846156</v>
      </c>
      <c r="BA158" s="12"/>
      <c r="BB158">
        <v>138</v>
      </c>
      <c r="BC158" s="5">
        <f>BB158/BB163</f>
        <v>0.33990147783251229</v>
      </c>
      <c r="BD158" s="5">
        <f>138/$BD$3</f>
        <v>0.33990147783251229</v>
      </c>
      <c r="BF158">
        <v>128</v>
      </c>
      <c r="BG158" s="5">
        <f>BF158/BF163</f>
        <v>0.34408602150537637</v>
      </c>
      <c r="BH158" s="5">
        <f>128/$BH$3</f>
        <v>0.34408602150537637</v>
      </c>
      <c r="BJ158">
        <v>67</v>
      </c>
      <c r="BK158" s="5">
        <f>BJ158/BJ163</f>
        <v>0.30180180180180183</v>
      </c>
      <c r="BL158" s="5">
        <f>67/$BL$3</f>
        <v>0.30180180180180183</v>
      </c>
      <c r="BN158">
        <v>131</v>
      </c>
      <c r="BO158" s="5">
        <f>BN158/BN163</f>
        <v>0.34473684210526317</v>
      </c>
      <c r="BP158" s="5">
        <f>131/$BP$3</f>
        <v>0.34473684210526317</v>
      </c>
      <c r="BR158">
        <v>123</v>
      </c>
      <c r="BS158" s="5">
        <f>BR158/BR163</f>
        <v>0.33243243243243242</v>
      </c>
      <c r="BT158" s="5">
        <f>123/$BT$3</f>
        <v>0.33243243243243242</v>
      </c>
      <c r="BV158">
        <v>79</v>
      </c>
      <c r="BW158" s="5">
        <f>BV158/BV163</f>
        <v>0.316</v>
      </c>
      <c r="BX158" s="5">
        <f>79/$BX$3</f>
        <v>0.316</v>
      </c>
      <c r="BZ158">
        <v>86</v>
      </c>
      <c r="CA158" s="5">
        <f>BZ158/BZ163</f>
        <v>0.34399999999999997</v>
      </c>
      <c r="CB158" s="5">
        <f>86/$CB$3</f>
        <v>0.34399999999999997</v>
      </c>
      <c r="CD158">
        <v>61</v>
      </c>
      <c r="CE158" s="5">
        <f>CD158/CD163</f>
        <v>0.2904761904761905</v>
      </c>
      <c r="CF158" s="5">
        <f>61/$CF$3</f>
        <v>0.2904761904761905</v>
      </c>
      <c r="CH158">
        <v>83</v>
      </c>
      <c r="CI158" s="5">
        <f>CH158/CH163</f>
        <v>0.37727272727272726</v>
      </c>
      <c r="CJ158" s="5">
        <f>83/$CJ$3</f>
        <v>0.37727272727272726</v>
      </c>
      <c r="CL158">
        <v>103</v>
      </c>
      <c r="CM158" s="5">
        <f>CL158/CL163</f>
        <v>0.32187500000000002</v>
      </c>
      <c r="CN158" s="5">
        <f>103/$CN$3</f>
        <v>0.32187500000000002</v>
      </c>
    </row>
    <row r="159" spans="1:92" x14ac:dyDescent="0.25">
      <c r="A159" s="1" t="s">
        <v>203</v>
      </c>
      <c r="B159">
        <v>478</v>
      </c>
      <c r="C159" s="5">
        <f>B159/B163</f>
        <v>0.47799999999999998</v>
      </c>
      <c r="D159" s="5">
        <f>478/$D$3</f>
        <v>0.47799999999999998</v>
      </c>
      <c r="F159">
        <v>204</v>
      </c>
      <c r="G159" s="5">
        <f>F159/F163</f>
        <v>0.43220338983050849</v>
      </c>
      <c r="H159" s="5">
        <f>204/$H$3</f>
        <v>0.43220338983050849</v>
      </c>
      <c r="J159">
        <v>131</v>
      </c>
      <c r="K159" s="5">
        <f>J159/J163</f>
        <v>0.45964912280701753</v>
      </c>
      <c r="L159" s="5">
        <f>131/$L$3</f>
        <v>0.45964912280701753</v>
      </c>
      <c r="N159">
        <v>88</v>
      </c>
      <c r="O159" s="5">
        <f>N159/N163</f>
        <v>0.37931034482758619</v>
      </c>
      <c r="P159" s="11">
        <f>88/$P$3</f>
        <v>0.37931034482758619</v>
      </c>
      <c r="R159">
        <v>125</v>
      </c>
      <c r="S159" s="5">
        <f>R159/R163</f>
        <v>0.42517006802721086</v>
      </c>
      <c r="T159" s="11">
        <f>125/$T$3</f>
        <v>0.42517006802721086</v>
      </c>
      <c r="V159">
        <v>163</v>
      </c>
      <c r="W159" s="5">
        <f>V159/V163</f>
        <v>0.39182692307692307</v>
      </c>
      <c r="X159" s="11">
        <f>163/$X$3</f>
        <v>0.39182692307692307</v>
      </c>
      <c r="Z159">
        <v>176</v>
      </c>
      <c r="AA159" s="5">
        <f>Z159/Z163</f>
        <v>0.41904761904761906</v>
      </c>
      <c r="AB159" s="11">
        <f>176/$AB$3</f>
        <v>0.41904761904761906</v>
      </c>
      <c r="AD159">
        <v>279</v>
      </c>
      <c r="AE159" s="5">
        <f>AD159/AD163</f>
        <v>0.55800000000000005</v>
      </c>
      <c r="AF159" s="10">
        <f>279/$AF$3</f>
        <v>0.55800000000000005</v>
      </c>
      <c r="AH159">
        <v>199</v>
      </c>
      <c r="AI159" s="5">
        <f>AH159/AH163</f>
        <v>0.39800000000000002</v>
      </c>
      <c r="AJ159" s="11">
        <f>199/$AJ$3</f>
        <v>0.39800000000000002</v>
      </c>
      <c r="AL159">
        <v>85</v>
      </c>
      <c r="AM159" s="5">
        <f>AL159/AL163</f>
        <v>0.50295857988165682</v>
      </c>
      <c r="AN159" s="5">
        <f>85/$AN$3</f>
        <v>0.50295857988165682</v>
      </c>
      <c r="AP159">
        <v>157</v>
      </c>
      <c r="AQ159" s="5">
        <f>AP159/AP163</f>
        <v>0.50482315112540188</v>
      </c>
      <c r="AR159" s="5">
        <f>157/$AR$3</f>
        <v>0.50482315112540188</v>
      </c>
      <c r="AT159">
        <v>178</v>
      </c>
      <c r="AU159" s="5">
        <f>AT159/AT163</f>
        <v>0.4564102564102564</v>
      </c>
      <c r="AV159" s="5">
        <f>178/$AV$3</f>
        <v>0.4564102564102564</v>
      </c>
      <c r="AX159">
        <v>58</v>
      </c>
      <c r="AY159" s="5">
        <f>AX159/AX163</f>
        <v>0.44615384615384618</v>
      </c>
      <c r="AZ159" s="5">
        <f>58/$AZ$3</f>
        <v>0.44615384615384618</v>
      </c>
      <c r="BB159">
        <v>187</v>
      </c>
      <c r="BC159" s="5">
        <f>BB159/BB163</f>
        <v>0.4605911330049261</v>
      </c>
      <c r="BD159" s="5">
        <f>187/$BD$3</f>
        <v>0.4605911330049261</v>
      </c>
      <c r="BF159">
        <v>176</v>
      </c>
      <c r="BG159" s="5">
        <f>BF159/BF163</f>
        <v>0.4731182795698925</v>
      </c>
      <c r="BH159" s="5">
        <f>176/$BH$3</f>
        <v>0.4731182795698925</v>
      </c>
      <c r="BJ159">
        <v>115</v>
      </c>
      <c r="BK159" s="5">
        <f>BJ159/BJ163</f>
        <v>0.51801801801801806</v>
      </c>
      <c r="BL159" s="5">
        <f>115/$BL$3</f>
        <v>0.51801801801801806</v>
      </c>
      <c r="BN159">
        <v>174</v>
      </c>
      <c r="BO159" s="5">
        <f>BN159/BN163</f>
        <v>0.45789473684210524</v>
      </c>
      <c r="BP159" s="5">
        <f>174/$BP$3</f>
        <v>0.45789473684210524</v>
      </c>
      <c r="BR159">
        <v>173</v>
      </c>
      <c r="BS159" s="5">
        <f>BR159/BR163</f>
        <v>0.46756756756756757</v>
      </c>
      <c r="BT159" s="5">
        <f>173/$BT$3</f>
        <v>0.46756756756756757</v>
      </c>
      <c r="BV159">
        <v>131</v>
      </c>
      <c r="BW159" s="5">
        <f>BV159/BV163</f>
        <v>0.52400000000000002</v>
      </c>
      <c r="BX159" s="5">
        <f>131/$BX$3</f>
        <v>0.52400000000000002</v>
      </c>
      <c r="BZ159">
        <v>120</v>
      </c>
      <c r="CA159" s="5">
        <f>BZ159/BZ163</f>
        <v>0.48</v>
      </c>
      <c r="CB159" s="5">
        <f>120/$CB$3</f>
        <v>0.48</v>
      </c>
      <c r="CD159">
        <v>103</v>
      </c>
      <c r="CE159" s="5">
        <f>CD159/CD163</f>
        <v>0.49047619047619045</v>
      </c>
      <c r="CF159" s="5">
        <f>103/$CF$3</f>
        <v>0.49047619047619045</v>
      </c>
      <c r="CH159">
        <v>101</v>
      </c>
      <c r="CI159" s="5">
        <f>CH159/CH163</f>
        <v>0.45909090909090911</v>
      </c>
      <c r="CJ159" s="5">
        <f>101/$CJ$3</f>
        <v>0.45909090909090911</v>
      </c>
      <c r="CL159">
        <v>154</v>
      </c>
      <c r="CM159" s="5">
        <f>CL159/CL163</f>
        <v>0.48125000000000001</v>
      </c>
      <c r="CN159" s="5">
        <f>154/$CN$3</f>
        <v>0.48125000000000001</v>
      </c>
    </row>
    <row r="160" spans="1:92" x14ac:dyDescent="0.25">
      <c r="A160" s="1" t="s">
        <v>208</v>
      </c>
      <c r="B160">
        <v>62</v>
      </c>
      <c r="C160" s="5">
        <f>B160/B163</f>
        <v>6.2E-2</v>
      </c>
      <c r="D160" s="5">
        <f>62/$D$3</f>
        <v>6.2E-2</v>
      </c>
      <c r="F160">
        <v>27</v>
      </c>
      <c r="G160" s="5">
        <f>F160/F163</f>
        <v>5.7203389830508475E-2</v>
      </c>
      <c r="H160" s="5">
        <f>27/$H$3</f>
        <v>5.7203389830508475E-2</v>
      </c>
      <c r="J160">
        <v>11</v>
      </c>
      <c r="K160" s="5">
        <f>J160/J163</f>
        <v>3.8596491228070177E-2</v>
      </c>
      <c r="L160" s="5">
        <f>11/$L$3</f>
        <v>3.8596491228070177E-2</v>
      </c>
      <c r="N160">
        <v>18</v>
      </c>
      <c r="O160" s="5">
        <f>N160/N163</f>
        <v>7.7586206896551727E-2</v>
      </c>
      <c r="P160" s="5">
        <f>18/$P$3</f>
        <v>7.7586206896551727E-2</v>
      </c>
      <c r="R160">
        <v>17</v>
      </c>
      <c r="S160" s="5">
        <f>R160/R163</f>
        <v>5.7823129251700682E-2</v>
      </c>
      <c r="T160" s="5">
        <f>17/$T$3</f>
        <v>5.7823129251700682E-2</v>
      </c>
      <c r="V160">
        <v>23</v>
      </c>
      <c r="W160" s="5">
        <f>V160/V163</f>
        <v>5.5288461538461536E-2</v>
      </c>
      <c r="X160" s="5">
        <f>23/$X$3</f>
        <v>5.5288461538461536E-2</v>
      </c>
      <c r="Z160">
        <v>26</v>
      </c>
      <c r="AA160" s="5">
        <f>Z160/Z163</f>
        <v>6.1904761904761907E-2</v>
      </c>
      <c r="AB160" s="5">
        <f>26/$AB$3</f>
        <v>6.1904761904761907E-2</v>
      </c>
      <c r="AD160">
        <v>41</v>
      </c>
      <c r="AE160" s="5">
        <f>AD160/AD163</f>
        <v>8.2000000000000003E-2</v>
      </c>
      <c r="AF160" s="5">
        <f>41/$AF$3</f>
        <v>8.2000000000000003E-2</v>
      </c>
      <c r="AH160">
        <v>21</v>
      </c>
      <c r="AI160" s="5">
        <f>AH160/AH163</f>
        <v>4.2000000000000003E-2</v>
      </c>
      <c r="AJ160" s="5">
        <f>21/$AJ$3</f>
        <v>4.2000000000000003E-2</v>
      </c>
      <c r="AL160">
        <v>10</v>
      </c>
      <c r="AM160" s="5">
        <f>AL160/AL163</f>
        <v>5.9171597633136092E-2</v>
      </c>
      <c r="AN160" s="5">
        <f>10/$AN$3</f>
        <v>5.9171597633136092E-2</v>
      </c>
      <c r="AP160">
        <v>21</v>
      </c>
      <c r="AQ160" s="5">
        <f>AP160/AP163</f>
        <v>6.7524115755627015E-2</v>
      </c>
      <c r="AR160" s="5">
        <f>21/$AR$3</f>
        <v>6.7524115755627015E-2</v>
      </c>
      <c r="AT160">
        <v>28</v>
      </c>
      <c r="AU160" s="5">
        <f>AT160/AT163</f>
        <v>7.179487179487179E-2</v>
      </c>
      <c r="AV160" s="5">
        <f>28/$AV$3</f>
        <v>7.179487179487179E-2</v>
      </c>
      <c r="AX160">
        <v>3</v>
      </c>
      <c r="AY160" s="5">
        <f>AX160/AX163</f>
        <v>2.3076923076923078E-2</v>
      </c>
      <c r="AZ160" s="5">
        <f>3/$AZ$3</f>
        <v>2.3076923076923078E-2</v>
      </c>
      <c r="BB160">
        <v>23</v>
      </c>
      <c r="BC160" s="5">
        <f>BB160/BB163</f>
        <v>5.6650246305418719E-2</v>
      </c>
      <c r="BD160" s="5">
        <f>23/$BD$3</f>
        <v>5.6650246305418719E-2</v>
      </c>
      <c r="BF160">
        <v>20</v>
      </c>
      <c r="BG160" s="5">
        <f>BF160/BF163</f>
        <v>5.3763440860215055E-2</v>
      </c>
      <c r="BH160" s="5">
        <f>20/$BH$3</f>
        <v>5.3763440860215055E-2</v>
      </c>
      <c r="BJ160">
        <v>19</v>
      </c>
      <c r="BK160" s="5">
        <f>BJ160/BJ163</f>
        <v>8.5585585585585586E-2</v>
      </c>
      <c r="BL160" s="5">
        <f>19/$BL$3</f>
        <v>8.5585585585585586E-2</v>
      </c>
      <c r="BN160">
        <v>25</v>
      </c>
      <c r="BO160" s="5">
        <f>BN160/BN163</f>
        <v>6.5789473684210523E-2</v>
      </c>
      <c r="BP160" s="5">
        <f>25/$BP$3</f>
        <v>6.5789473684210523E-2</v>
      </c>
      <c r="BR160">
        <v>22</v>
      </c>
      <c r="BS160" s="5">
        <f>BR160/BR163</f>
        <v>5.9459459459459463E-2</v>
      </c>
      <c r="BT160" s="5">
        <f>22/$BT$3</f>
        <v>5.9459459459459463E-2</v>
      </c>
      <c r="BV160">
        <v>15</v>
      </c>
      <c r="BW160" s="5">
        <f>BV160/BV163</f>
        <v>0.06</v>
      </c>
      <c r="BX160" s="5">
        <f>15/$BX$3</f>
        <v>0.06</v>
      </c>
      <c r="BZ160">
        <v>10</v>
      </c>
      <c r="CA160" s="5">
        <f>BZ160/BZ163</f>
        <v>0.04</v>
      </c>
      <c r="CB160" s="5">
        <f>10/$CB$3</f>
        <v>0.04</v>
      </c>
      <c r="CD160">
        <v>13</v>
      </c>
      <c r="CE160" s="5">
        <f>CD160/CD163</f>
        <v>6.1904761904761907E-2</v>
      </c>
      <c r="CF160" s="5">
        <f>13/$CF$3</f>
        <v>6.1904761904761907E-2</v>
      </c>
      <c r="CH160">
        <v>13</v>
      </c>
      <c r="CI160" s="5">
        <f>CH160/CH163</f>
        <v>5.909090909090909E-2</v>
      </c>
      <c r="CJ160" s="5">
        <f>13/$CJ$3</f>
        <v>5.909090909090909E-2</v>
      </c>
      <c r="CL160">
        <v>26</v>
      </c>
      <c r="CM160" s="5">
        <f>CL160/CL163</f>
        <v>8.1250000000000003E-2</v>
      </c>
      <c r="CN160" s="5">
        <f>26/$CN$3</f>
        <v>8.1250000000000003E-2</v>
      </c>
    </row>
    <row r="161" spans="1:92" x14ac:dyDescent="0.25">
      <c r="A161" s="1" t="s">
        <v>226</v>
      </c>
      <c r="B161">
        <v>33</v>
      </c>
      <c r="C161" s="5">
        <f>B161/B163</f>
        <v>3.3000000000000002E-2</v>
      </c>
      <c r="D161" s="5">
        <f>33/$D$3</f>
        <v>3.3000000000000002E-2</v>
      </c>
      <c r="F161">
        <v>16</v>
      </c>
      <c r="G161" s="5">
        <f>F161/F163</f>
        <v>3.3898305084745763E-2</v>
      </c>
      <c r="H161" s="5">
        <f>16/$H$3</f>
        <v>3.3898305084745763E-2</v>
      </c>
      <c r="J161">
        <v>14</v>
      </c>
      <c r="K161" s="5">
        <f>J161/J163</f>
        <v>4.912280701754386E-2</v>
      </c>
      <c r="L161" s="5">
        <f>14/$L$3</f>
        <v>4.912280701754386E-2</v>
      </c>
      <c r="N161">
        <v>7</v>
      </c>
      <c r="O161" s="5">
        <f>N161/N163</f>
        <v>3.017241379310345E-2</v>
      </c>
      <c r="P161" s="5">
        <f>7/$P$3</f>
        <v>3.017241379310345E-2</v>
      </c>
      <c r="R161">
        <v>11</v>
      </c>
      <c r="S161" s="5">
        <f>R161/R163</f>
        <v>3.7414965986394558E-2</v>
      </c>
      <c r="T161" s="5">
        <f>11/$T$3</f>
        <v>3.7414965986394558E-2</v>
      </c>
      <c r="V161">
        <v>13</v>
      </c>
      <c r="W161" s="5">
        <f>V161/V163</f>
        <v>3.125E-2</v>
      </c>
      <c r="X161" s="5">
        <f>13/$X$3</f>
        <v>3.125E-2</v>
      </c>
      <c r="Z161">
        <v>14</v>
      </c>
      <c r="AA161" s="5">
        <f>Z161/Z163</f>
        <v>3.3333333333333333E-2</v>
      </c>
      <c r="AB161" s="5">
        <f>14/$AB$3</f>
        <v>3.3333333333333333E-2</v>
      </c>
      <c r="AD161">
        <v>20</v>
      </c>
      <c r="AE161" s="5">
        <f>AD161/AD163</f>
        <v>0.04</v>
      </c>
      <c r="AF161" s="5">
        <f>20/$AF$3</f>
        <v>0.04</v>
      </c>
      <c r="AH161">
        <v>13</v>
      </c>
      <c r="AI161" s="5">
        <f>AH161/AH163</f>
        <v>2.5999999999999999E-2</v>
      </c>
      <c r="AJ161" s="5">
        <f>13/$AJ$3</f>
        <v>2.5999999999999999E-2</v>
      </c>
      <c r="AL161">
        <v>8</v>
      </c>
      <c r="AM161" s="5">
        <f>AL161/AL163</f>
        <v>4.7337278106508875E-2</v>
      </c>
      <c r="AN161" s="5">
        <f>8/$AN$3</f>
        <v>4.7337278106508875E-2</v>
      </c>
      <c r="AP161">
        <v>8</v>
      </c>
      <c r="AQ161" s="5">
        <f>AP161/AP163</f>
        <v>2.5723472668810289E-2</v>
      </c>
      <c r="AR161" s="5">
        <f>8/$AR$3</f>
        <v>2.5723472668810289E-2</v>
      </c>
      <c r="AT161">
        <v>14</v>
      </c>
      <c r="AU161" s="5">
        <f>AT161/AT163</f>
        <v>3.5897435897435895E-2</v>
      </c>
      <c r="AV161" s="5">
        <f>14/$AV$3</f>
        <v>3.5897435897435895E-2</v>
      </c>
      <c r="AX161">
        <v>3</v>
      </c>
      <c r="AY161" s="5">
        <f>AX161/AX163</f>
        <v>2.3076923076923078E-2</v>
      </c>
      <c r="AZ161" s="5">
        <f>3/$AZ$3</f>
        <v>2.3076923076923078E-2</v>
      </c>
      <c r="BB161">
        <v>14</v>
      </c>
      <c r="BC161" s="5">
        <f>BB161/BB163</f>
        <v>3.4482758620689655E-2</v>
      </c>
      <c r="BD161" s="5">
        <f>14/$BD$3</f>
        <v>3.4482758620689655E-2</v>
      </c>
      <c r="BF161">
        <v>10</v>
      </c>
      <c r="BG161" s="5">
        <f>BF161/BF163</f>
        <v>2.6881720430107527E-2</v>
      </c>
      <c r="BH161" s="5">
        <f>10/$BH$3</f>
        <v>2.6881720430107527E-2</v>
      </c>
      <c r="BJ161">
        <v>9</v>
      </c>
      <c r="BK161" s="5">
        <f>BJ161/BJ163</f>
        <v>4.0540540540540543E-2</v>
      </c>
      <c r="BL161" s="5">
        <f>9/$BL$3</f>
        <v>4.0540540540540543E-2</v>
      </c>
      <c r="BN161">
        <v>10</v>
      </c>
      <c r="BO161" s="5">
        <f>BN161/BN163</f>
        <v>2.6315789473684209E-2</v>
      </c>
      <c r="BP161" s="5">
        <f>10/$BP$3</f>
        <v>2.6315789473684209E-2</v>
      </c>
      <c r="BR161">
        <v>10</v>
      </c>
      <c r="BS161" s="5">
        <f>BR161/BR163</f>
        <v>2.7027027027027029E-2</v>
      </c>
      <c r="BT161" s="5">
        <f>10/$BT$3</f>
        <v>2.7027027027027029E-2</v>
      </c>
      <c r="BV161">
        <v>13</v>
      </c>
      <c r="BW161" s="5">
        <f>BV161/BV163</f>
        <v>5.1999999999999998E-2</v>
      </c>
      <c r="BX161" s="5">
        <f>13/$BX$3</f>
        <v>5.1999999999999998E-2</v>
      </c>
      <c r="BZ161">
        <v>6</v>
      </c>
      <c r="CA161" s="5">
        <f>BZ161/BZ163</f>
        <v>2.4E-2</v>
      </c>
      <c r="CB161" s="5">
        <f>6/$CB$3</f>
        <v>2.4E-2</v>
      </c>
      <c r="CD161">
        <v>8</v>
      </c>
      <c r="CE161" s="5">
        <f>CD161/CD163</f>
        <v>3.8095238095238099E-2</v>
      </c>
      <c r="CF161" s="5">
        <f>8/$CF$3</f>
        <v>3.8095238095238099E-2</v>
      </c>
      <c r="CH161">
        <v>5</v>
      </c>
      <c r="CI161" s="5">
        <f>CH161/CH163</f>
        <v>2.2727272727272728E-2</v>
      </c>
      <c r="CJ161" s="5">
        <f>5/$CJ$3</f>
        <v>2.2727272727272728E-2</v>
      </c>
      <c r="CL161">
        <v>14</v>
      </c>
      <c r="CM161" s="5">
        <f>CL161/CL163</f>
        <v>4.3749999999999997E-2</v>
      </c>
      <c r="CN161" s="5">
        <f>14/$CN$3</f>
        <v>4.3749999999999997E-2</v>
      </c>
    </row>
    <row r="162" spans="1:92" x14ac:dyDescent="0.25">
      <c r="A162" s="1" t="s">
        <v>12</v>
      </c>
      <c r="B162">
        <v>0</v>
      </c>
      <c r="C162" s="5">
        <f>B162/B163</f>
        <v>0</v>
      </c>
      <c r="D162" s="5">
        <f>0/$D$3</f>
        <v>0</v>
      </c>
      <c r="F162">
        <v>0</v>
      </c>
      <c r="G162" s="5">
        <f>F162/F163</f>
        <v>0</v>
      </c>
      <c r="H162" s="5">
        <f>0/$H$3</f>
        <v>0</v>
      </c>
      <c r="J162">
        <v>0</v>
      </c>
      <c r="K162" s="5">
        <f>J162/J163</f>
        <v>0</v>
      </c>
      <c r="L162" s="5">
        <f>0/$L$3</f>
        <v>0</v>
      </c>
      <c r="N162">
        <v>0</v>
      </c>
      <c r="O162" s="5">
        <f>N162/N163</f>
        <v>0</v>
      </c>
      <c r="P162" s="5">
        <f>0/$P$3</f>
        <v>0</v>
      </c>
      <c r="R162">
        <v>0</v>
      </c>
      <c r="S162" s="5">
        <f>R162/R163</f>
        <v>0</v>
      </c>
      <c r="T162" s="5">
        <f>0/$T$3</f>
        <v>0</v>
      </c>
      <c r="V162">
        <v>0</v>
      </c>
      <c r="W162" s="5">
        <f>V162/V163</f>
        <v>0</v>
      </c>
      <c r="X162" s="5">
        <f>0/$X$3</f>
        <v>0</v>
      </c>
      <c r="Z162">
        <v>0</v>
      </c>
      <c r="AA162" s="5">
        <f>Z162/Z163</f>
        <v>0</v>
      </c>
      <c r="AB162" s="5">
        <f>0/$AB$3</f>
        <v>0</v>
      </c>
      <c r="AD162">
        <v>0</v>
      </c>
      <c r="AE162" s="5">
        <f>AD162/AD163</f>
        <v>0</v>
      </c>
      <c r="AF162" s="5">
        <f>0/$AF$3</f>
        <v>0</v>
      </c>
      <c r="AH162">
        <v>0</v>
      </c>
      <c r="AI162" s="5">
        <f>AH162/AH163</f>
        <v>0</v>
      </c>
      <c r="AJ162" s="5">
        <f>0/$AJ$3</f>
        <v>0</v>
      </c>
      <c r="AL162">
        <v>0</v>
      </c>
      <c r="AM162" s="5">
        <f>AL162/AL163</f>
        <v>0</v>
      </c>
      <c r="AN162" s="5">
        <f>0/$AN$3</f>
        <v>0</v>
      </c>
      <c r="AP162">
        <v>0</v>
      </c>
      <c r="AQ162" s="5">
        <f>AP162/AP163</f>
        <v>0</v>
      </c>
      <c r="AR162" s="5">
        <f>0/$AR$3</f>
        <v>0</v>
      </c>
      <c r="AT162">
        <v>0</v>
      </c>
      <c r="AU162" s="5">
        <f>AT162/AT163</f>
        <v>0</v>
      </c>
      <c r="AV162" s="5">
        <f>0/$AV$3</f>
        <v>0</v>
      </c>
      <c r="AX162">
        <v>0</v>
      </c>
      <c r="AY162" s="5">
        <f>AX162/AX163</f>
        <v>0</v>
      </c>
      <c r="AZ162" s="5">
        <f>0/$AZ$3</f>
        <v>0</v>
      </c>
      <c r="BB162">
        <v>0</v>
      </c>
      <c r="BC162" s="5">
        <f>BB162/BB163</f>
        <v>0</v>
      </c>
      <c r="BD162" s="5">
        <f>0/$BD$3</f>
        <v>0</v>
      </c>
      <c r="BF162">
        <v>0</v>
      </c>
      <c r="BG162" s="5">
        <f>BF162/BF163</f>
        <v>0</v>
      </c>
      <c r="BH162" s="5">
        <f>0/$BH$3</f>
        <v>0</v>
      </c>
      <c r="BJ162">
        <v>0</v>
      </c>
      <c r="BK162" s="5">
        <f>BJ162/BJ163</f>
        <v>0</v>
      </c>
      <c r="BL162" s="5">
        <f>0/$BL$3</f>
        <v>0</v>
      </c>
      <c r="BN162">
        <v>0</v>
      </c>
      <c r="BO162" s="5">
        <f>BN162/BN163</f>
        <v>0</v>
      </c>
      <c r="BP162" s="5">
        <f>0/$BP$3</f>
        <v>0</v>
      </c>
      <c r="BR162">
        <v>0</v>
      </c>
      <c r="BS162" s="5">
        <f>BR162/BR163</f>
        <v>0</v>
      </c>
      <c r="BT162" s="5">
        <f>0/$BT$3</f>
        <v>0</v>
      </c>
      <c r="BV162">
        <v>0</v>
      </c>
      <c r="BW162" s="5">
        <f>BV162/BV163</f>
        <v>0</v>
      </c>
      <c r="BX162" s="5">
        <f>0/$BX$3</f>
        <v>0</v>
      </c>
      <c r="BZ162">
        <v>0</v>
      </c>
      <c r="CA162" s="5">
        <f>BZ162/BZ163</f>
        <v>0</v>
      </c>
      <c r="CB162" s="5">
        <f>0/$CB$3</f>
        <v>0</v>
      </c>
      <c r="CD162">
        <v>0</v>
      </c>
      <c r="CE162" s="5">
        <f>CD162/CD163</f>
        <v>0</v>
      </c>
      <c r="CF162" s="5">
        <f>0/$CF$3</f>
        <v>0</v>
      </c>
      <c r="CH162">
        <v>0</v>
      </c>
      <c r="CI162" s="5">
        <f>CH162/CH163</f>
        <v>0</v>
      </c>
      <c r="CJ162" s="5">
        <f>0/$CJ$3</f>
        <v>0</v>
      </c>
      <c r="CL162">
        <v>0</v>
      </c>
      <c r="CM162" s="5">
        <f>CL162/CL163</f>
        <v>0</v>
      </c>
      <c r="CN162" s="5">
        <f>0/$CN$3</f>
        <v>0</v>
      </c>
    </row>
    <row r="163" spans="1:92" s="6" customFormat="1" x14ac:dyDescent="0.25">
      <c r="A163" s="7" t="s">
        <v>13</v>
      </c>
      <c r="B163" s="6">
        <v>1000</v>
      </c>
      <c r="F163" s="6">
        <v>472</v>
      </c>
      <c r="J163" s="6">
        <v>285</v>
      </c>
      <c r="N163" s="6">
        <v>232</v>
      </c>
      <c r="R163" s="6">
        <v>294</v>
      </c>
      <c r="V163" s="6">
        <v>416</v>
      </c>
      <c r="Z163" s="6">
        <v>420</v>
      </c>
      <c r="AD163" s="6">
        <v>500</v>
      </c>
      <c r="AH163" s="6">
        <v>500</v>
      </c>
      <c r="AL163" s="6">
        <v>169</v>
      </c>
      <c r="AP163" s="6">
        <v>311</v>
      </c>
      <c r="AT163" s="6">
        <v>390</v>
      </c>
      <c r="AX163" s="6">
        <v>130</v>
      </c>
      <c r="BB163" s="6">
        <v>406</v>
      </c>
      <c r="BF163" s="6">
        <v>372</v>
      </c>
      <c r="BJ163" s="6">
        <v>222</v>
      </c>
      <c r="BN163" s="6">
        <v>380</v>
      </c>
      <c r="BR163" s="6">
        <v>370</v>
      </c>
      <c r="BV163" s="6">
        <v>250</v>
      </c>
      <c r="BZ163" s="6">
        <v>250</v>
      </c>
      <c r="CD163" s="6">
        <v>210</v>
      </c>
      <c r="CH163" s="6">
        <v>220</v>
      </c>
      <c r="CL163" s="6">
        <v>320</v>
      </c>
    </row>
    <row r="164" spans="1:92" hidden="1" x14ac:dyDescent="0.25">
      <c r="A164" s="8" t="s">
        <v>14</v>
      </c>
      <c r="B164">
        <v>0</v>
      </c>
      <c r="F164">
        <v>0</v>
      </c>
      <c r="J164">
        <v>0</v>
      </c>
      <c r="N164">
        <v>0</v>
      </c>
      <c r="R164">
        <v>0</v>
      </c>
      <c r="V164">
        <v>0</v>
      </c>
      <c r="Z164">
        <v>0</v>
      </c>
      <c r="AD164">
        <v>0</v>
      </c>
      <c r="AH164">
        <v>0</v>
      </c>
      <c r="AL164">
        <v>0</v>
      </c>
      <c r="AP164">
        <v>0</v>
      </c>
      <c r="AT164">
        <v>0</v>
      </c>
      <c r="AX164">
        <v>0</v>
      </c>
      <c r="BB164">
        <v>0</v>
      </c>
      <c r="BF164">
        <v>0</v>
      </c>
      <c r="BJ164">
        <v>0</v>
      </c>
      <c r="BN164">
        <v>0</v>
      </c>
      <c r="BR164">
        <v>0</v>
      </c>
      <c r="BV164">
        <v>0</v>
      </c>
      <c r="BZ164">
        <v>0</v>
      </c>
      <c r="CD164">
        <v>0</v>
      </c>
      <c r="CH164">
        <v>0</v>
      </c>
      <c r="CL164">
        <v>0</v>
      </c>
    </row>
    <row r="165" spans="1:92" hidden="1" x14ac:dyDescent="0.25">
      <c r="A165" s="8" t="s">
        <v>15</v>
      </c>
      <c r="B165">
        <v>0</v>
      </c>
      <c r="F165">
        <v>0</v>
      </c>
      <c r="J165">
        <v>0</v>
      </c>
      <c r="N165">
        <v>0</v>
      </c>
      <c r="R165">
        <v>0</v>
      </c>
      <c r="V165">
        <v>0</v>
      </c>
      <c r="Z165">
        <v>0</v>
      </c>
      <c r="AD165">
        <v>0</v>
      </c>
      <c r="AH165">
        <v>0</v>
      </c>
      <c r="AL165">
        <v>0</v>
      </c>
      <c r="AP165">
        <v>0</v>
      </c>
      <c r="AT165">
        <v>0</v>
      </c>
      <c r="AX165">
        <v>0</v>
      </c>
      <c r="BB165">
        <v>0</v>
      </c>
      <c r="BF165">
        <v>0</v>
      </c>
      <c r="BJ165">
        <v>0</v>
      </c>
      <c r="BN165">
        <v>0</v>
      </c>
      <c r="BR165">
        <v>0</v>
      </c>
      <c r="BV165">
        <v>0</v>
      </c>
      <c r="BZ165">
        <v>0</v>
      </c>
      <c r="CD165">
        <v>0</v>
      </c>
      <c r="CH165">
        <v>0</v>
      </c>
      <c r="CL165">
        <v>0</v>
      </c>
    </row>
    <row r="167" spans="1:92" x14ac:dyDescent="0.25">
      <c r="AN167" s="2" t="s">
        <v>5</v>
      </c>
      <c r="AR167" s="2" t="s">
        <v>6</v>
      </c>
      <c r="AV167" s="2" t="s">
        <v>7</v>
      </c>
      <c r="AZ167" s="2" t="s">
        <v>8</v>
      </c>
      <c r="BD167" s="2" t="s">
        <v>5</v>
      </c>
      <c r="BH167" s="2" t="s">
        <v>6</v>
      </c>
      <c r="BL167" s="2" t="s">
        <v>7</v>
      </c>
      <c r="BP167" s="2" t="s">
        <v>5</v>
      </c>
      <c r="BT167" s="2" t="s">
        <v>6</v>
      </c>
      <c r="BX167" s="2" t="s">
        <v>7</v>
      </c>
      <c r="CB167" s="2" t="s">
        <v>5</v>
      </c>
      <c r="CF167" s="2" t="s">
        <v>6</v>
      </c>
      <c r="CJ167" s="2" t="s">
        <v>7</v>
      </c>
      <c r="CN167" s="2" t="s">
        <v>8</v>
      </c>
    </row>
    <row r="168" spans="1:92" s="3" customFormat="1" x14ac:dyDescent="0.25">
      <c r="A168" s="3" t="s">
        <v>568</v>
      </c>
      <c r="D168" s="4" t="s">
        <v>10</v>
      </c>
      <c r="H168" s="4" t="s">
        <v>10</v>
      </c>
      <c r="L168" s="4" t="s">
        <v>10</v>
      </c>
      <c r="P168" s="4" t="s">
        <v>10</v>
      </c>
      <c r="T168" s="4" t="s">
        <v>10</v>
      </c>
      <c r="X168" s="4" t="s">
        <v>10</v>
      </c>
      <c r="AB168" s="4" t="s">
        <v>10</v>
      </c>
      <c r="AF168" s="4" t="s">
        <v>10</v>
      </c>
      <c r="AJ168" s="4" t="s">
        <v>10</v>
      </c>
      <c r="AN168" s="4" t="s">
        <v>10</v>
      </c>
      <c r="AR168" s="4" t="s">
        <v>10</v>
      </c>
      <c r="AV168" s="4" t="s">
        <v>10</v>
      </c>
      <c r="AZ168" s="4" t="s">
        <v>10</v>
      </c>
      <c r="BD168" s="4" t="s">
        <v>10</v>
      </c>
      <c r="BH168" s="4" t="s">
        <v>10</v>
      </c>
      <c r="BL168" s="4" t="s">
        <v>10</v>
      </c>
      <c r="BP168" s="4" t="s">
        <v>10</v>
      </c>
      <c r="BT168" s="4" t="s">
        <v>10</v>
      </c>
      <c r="BX168" s="4" t="s">
        <v>10</v>
      </c>
      <c r="CB168" s="4" t="s">
        <v>10</v>
      </c>
      <c r="CF168" s="4" t="s">
        <v>10</v>
      </c>
      <c r="CJ168" s="4" t="s">
        <v>10</v>
      </c>
      <c r="CN168" s="4" t="s">
        <v>10</v>
      </c>
    </row>
    <row r="169" spans="1:92" x14ac:dyDescent="0.25">
      <c r="A169" s="1" t="s">
        <v>569</v>
      </c>
      <c r="B169">
        <v>73</v>
      </c>
      <c r="C169" s="5">
        <f>B169/B176</f>
        <v>7.2999999999999995E-2</v>
      </c>
      <c r="D169" s="5">
        <f>73/$D$3</f>
        <v>7.2999999999999995E-2</v>
      </c>
      <c r="F169">
        <v>39</v>
      </c>
      <c r="G169" s="5">
        <f>F169/F176</f>
        <v>8.2627118644067798E-2</v>
      </c>
      <c r="H169" s="5">
        <f>39/$H$3</f>
        <v>8.2627118644067798E-2</v>
      </c>
      <c r="J169">
        <v>29</v>
      </c>
      <c r="K169" s="5">
        <f>J169/J176</f>
        <v>0.10175438596491228</v>
      </c>
      <c r="L169" s="5">
        <f>29/$L$3</f>
        <v>0.10175438596491228</v>
      </c>
      <c r="N169">
        <v>24</v>
      </c>
      <c r="O169" s="5">
        <f>N169/N176</f>
        <v>0.10344827586206896</v>
      </c>
      <c r="P169" s="5">
        <f>24/$P$3</f>
        <v>0.10344827586206896</v>
      </c>
      <c r="R169">
        <v>30</v>
      </c>
      <c r="S169" s="5">
        <f>R169/R176</f>
        <v>0.10204081632653061</v>
      </c>
      <c r="T169" s="5">
        <f>30/$T$3</f>
        <v>0.10204081632653061</v>
      </c>
      <c r="V169">
        <v>36</v>
      </c>
      <c r="W169" s="5">
        <f>V169/V176</f>
        <v>8.6538461538461536E-2</v>
      </c>
      <c r="X169" s="5">
        <f>36/$X$3</f>
        <v>8.6538461538461536E-2</v>
      </c>
      <c r="Z169">
        <v>37</v>
      </c>
      <c r="AA169" s="5">
        <f>Z169/Z176</f>
        <v>8.8095238095238101E-2</v>
      </c>
      <c r="AB169" s="5">
        <f>37/$AB$3</f>
        <v>8.8095238095238101E-2</v>
      </c>
      <c r="AD169">
        <v>34</v>
      </c>
      <c r="AE169" s="5">
        <f>AD169/AD176</f>
        <v>6.8000000000000005E-2</v>
      </c>
      <c r="AF169" s="5">
        <f>34/$AF$3</f>
        <v>6.8000000000000005E-2</v>
      </c>
      <c r="AH169">
        <v>39</v>
      </c>
      <c r="AI169" s="5">
        <f>AH169/AH176</f>
        <v>7.8E-2</v>
      </c>
      <c r="AJ169" s="5">
        <f>39/$AJ$3</f>
        <v>7.8E-2</v>
      </c>
      <c r="AL169">
        <v>15</v>
      </c>
      <c r="AM169" s="5">
        <f>AL169/AL176</f>
        <v>8.8757396449704137E-2</v>
      </c>
      <c r="AN169" s="5">
        <f>15/$AN$3</f>
        <v>8.8757396449704137E-2</v>
      </c>
      <c r="AP169">
        <v>26</v>
      </c>
      <c r="AQ169" s="5">
        <f>AP169/AP176</f>
        <v>8.3601286173633438E-2</v>
      </c>
      <c r="AR169" s="5">
        <f>26/$AR$3</f>
        <v>8.3601286173633438E-2</v>
      </c>
      <c r="AT169">
        <v>22</v>
      </c>
      <c r="AU169" s="5">
        <f>AT169/AT176</f>
        <v>5.6410256410256411E-2</v>
      </c>
      <c r="AV169" s="5">
        <f>22/$AV$3</f>
        <v>5.6410256410256411E-2</v>
      </c>
      <c r="AX169">
        <v>10</v>
      </c>
      <c r="AY169" s="5">
        <f>AX169/AX176</f>
        <v>7.6923076923076927E-2</v>
      </c>
      <c r="AZ169" s="5">
        <f>10/$AZ$3</f>
        <v>7.6923076923076927E-2</v>
      </c>
      <c r="BB169">
        <v>32</v>
      </c>
      <c r="BC169" s="5">
        <f>BB169/BB176</f>
        <v>7.8817733990147784E-2</v>
      </c>
      <c r="BD169" s="5">
        <f>32/$BD$3</f>
        <v>7.8817733990147784E-2</v>
      </c>
      <c r="BF169">
        <v>22</v>
      </c>
      <c r="BG169" s="5">
        <f>BF169/BF176</f>
        <v>5.9139784946236562E-2</v>
      </c>
      <c r="BH169" s="5">
        <f>22/$BH$3</f>
        <v>5.9139784946236562E-2</v>
      </c>
      <c r="BJ169">
        <v>19</v>
      </c>
      <c r="BK169" s="5">
        <f>BJ169/BJ176</f>
        <v>8.5585585585585586E-2</v>
      </c>
      <c r="BL169" s="5">
        <f>19/$BL$3</f>
        <v>8.5585585585585586E-2</v>
      </c>
      <c r="BN169">
        <v>38</v>
      </c>
      <c r="BO169" s="5">
        <f>BN169/BN176</f>
        <v>0.1</v>
      </c>
      <c r="BP169" s="5">
        <f>38/$BP$3</f>
        <v>0.1</v>
      </c>
      <c r="BR169">
        <v>22</v>
      </c>
      <c r="BS169" s="5">
        <f>BR169/BR176</f>
        <v>5.9459459459459463E-2</v>
      </c>
      <c r="BT169" s="5">
        <f>22/$BT$3</f>
        <v>5.9459459459459463E-2</v>
      </c>
      <c r="BV169">
        <v>13</v>
      </c>
      <c r="BW169" s="5">
        <f>BV169/BV176</f>
        <v>5.1999999999999998E-2</v>
      </c>
      <c r="BX169" s="5">
        <f>13/$BX$3</f>
        <v>5.1999999999999998E-2</v>
      </c>
      <c r="BZ169">
        <v>17</v>
      </c>
      <c r="CA169" s="5">
        <f>BZ169/BZ176</f>
        <v>6.8000000000000005E-2</v>
      </c>
      <c r="CB169" s="5">
        <f>17/$CB$3</f>
        <v>6.8000000000000005E-2</v>
      </c>
      <c r="CD169">
        <v>14</v>
      </c>
      <c r="CE169" s="5">
        <f>CD169/CD176</f>
        <v>6.6666666666666666E-2</v>
      </c>
      <c r="CF169" s="5">
        <f>14/$CF$3</f>
        <v>6.6666666666666666E-2</v>
      </c>
      <c r="CH169">
        <v>21</v>
      </c>
      <c r="CI169" s="5">
        <f>CH169/CH176</f>
        <v>9.5454545454545459E-2</v>
      </c>
      <c r="CJ169" s="5">
        <f>21/$CJ$3</f>
        <v>9.5454545454545459E-2</v>
      </c>
      <c r="CL169">
        <v>21</v>
      </c>
      <c r="CM169" s="5">
        <f>CL169/CL176</f>
        <v>6.5625000000000003E-2</v>
      </c>
      <c r="CN169" s="5">
        <f>21/$CN$3</f>
        <v>6.5625000000000003E-2</v>
      </c>
    </row>
    <row r="170" spans="1:92" x14ac:dyDescent="0.25">
      <c r="A170" s="1" t="s">
        <v>570</v>
      </c>
      <c r="B170">
        <v>139</v>
      </c>
      <c r="C170" s="5">
        <f>B170/B176</f>
        <v>0.13900000000000001</v>
      </c>
      <c r="D170" s="5">
        <f>139/$D$3</f>
        <v>0.13900000000000001</v>
      </c>
      <c r="F170">
        <v>77</v>
      </c>
      <c r="G170" s="5">
        <f>F170/F176</f>
        <v>0.16313559322033899</v>
      </c>
      <c r="H170" s="5">
        <f>77/$H$3</f>
        <v>0.16313559322033899</v>
      </c>
      <c r="J170">
        <v>54</v>
      </c>
      <c r="K170" s="5">
        <f>J170/J176</f>
        <v>0.18947368421052632</v>
      </c>
      <c r="L170" s="10">
        <f>54/$L$3</f>
        <v>0.18947368421052632</v>
      </c>
      <c r="N170">
        <v>44</v>
      </c>
      <c r="O170" s="5">
        <f>N170/N176</f>
        <v>0.18965517241379309</v>
      </c>
      <c r="P170" s="10">
        <f>44/$P$3</f>
        <v>0.18965517241379309</v>
      </c>
      <c r="R170">
        <v>47</v>
      </c>
      <c r="S170" s="5">
        <f>R170/R176</f>
        <v>0.1598639455782313</v>
      </c>
      <c r="T170" s="5">
        <f>47/$T$3</f>
        <v>0.1598639455782313</v>
      </c>
      <c r="V170">
        <v>73</v>
      </c>
      <c r="W170" s="5">
        <f>V170/V176</f>
        <v>0.17548076923076922</v>
      </c>
      <c r="X170" s="5">
        <f>73/$X$3</f>
        <v>0.17548076923076922</v>
      </c>
      <c r="Z170">
        <v>73</v>
      </c>
      <c r="AA170" s="5">
        <f>Z170/Z176</f>
        <v>0.1738095238095238</v>
      </c>
      <c r="AB170" s="5">
        <f>73/$AB$3</f>
        <v>0.1738095238095238</v>
      </c>
      <c r="AD170">
        <v>61</v>
      </c>
      <c r="AE170" s="5">
        <f>AD170/AD176</f>
        <v>0.122</v>
      </c>
      <c r="AF170" s="5">
        <f>61/$AF$3</f>
        <v>0.122</v>
      </c>
      <c r="AH170">
        <v>78</v>
      </c>
      <c r="AI170" s="5">
        <f>AH170/AH176</f>
        <v>0.156</v>
      </c>
      <c r="AJ170" s="5">
        <f>78/$AJ$3</f>
        <v>0.156</v>
      </c>
      <c r="AL170">
        <v>28</v>
      </c>
      <c r="AM170" s="5">
        <f>AL170/AL176</f>
        <v>0.16568047337278108</v>
      </c>
      <c r="AN170" s="5">
        <f>28/$AN$3</f>
        <v>0.16568047337278108</v>
      </c>
      <c r="AP170">
        <v>41</v>
      </c>
      <c r="AQ170" s="5">
        <f>AP170/AP176</f>
        <v>0.13183279742765272</v>
      </c>
      <c r="AR170" s="5">
        <f>41/$AR$3</f>
        <v>0.13183279742765272</v>
      </c>
      <c r="AT170">
        <v>51</v>
      </c>
      <c r="AU170" s="5">
        <f>AT170/AT176</f>
        <v>0.13076923076923078</v>
      </c>
      <c r="AV170" s="5">
        <f>51/$AV$3</f>
        <v>0.13076923076923078</v>
      </c>
      <c r="AX170">
        <v>19</v>
      </c>
      <c r="AY170" s="5">
        <f>AX170/AX176</f>
        <v>0.14615384615384616</v>
      </c>
      <c r="AZ170" s="5">
        <f>19/$AZ$3</f>
        <v>0.14615384615384616</v>
      </c>
      <c r="BB170">
        <v>61</v>
      </c>
      <c r="BC170" s="5">
        <f>BB170/BB176</f>
        <v>0.15024630541871922</v>
      </c>
      <c r="BD170" s="5">
        <f>61/$BD$3</f>
        <v>0.15024630541871922</v>
      </c>
      <c r="BF170">
        <v>52</v>
      </c>
      <c r="BG170" s="5">
        <f>BF170/BF176</f>
        <v>0.13978494623655913</v>
      </c>
      <c r="BH170" s="5">
        <f>52/$BH$3</f>
        <v>0.13978494623655913</v>
      </c>
      <c r="BJ170">
        <v>26</v>
      </c>
      <c r="BK170" s="5">
        <f>BJ170/BJ176</f>
        <v>0.11711711711711711</v>
      </c>
      <c r="BL170" s="5">
        <f>26/$BL$3</f>
        <v>0.11711711711711711</v>
      </c>
      <c r="BN170">
        <v>61</v>
      </c>
      <c r="BO170" s="5">
        <f>BN170/BN176</f>
        <v>0.16052631578947368</v>
      </c>
      <c r="BP170" s="5">
        <f>61/$BP$3</f>
        <v>0.16052631578947368</v>
      </c>
      <c r="BR170">
        <v>46</v>
      </c>
      <c r="BS170" s="5">
        <f>BR170/BR176</f>
        <v>0.12432432432432433</v>
      </c>
      <c r="BT170" s="5">
        <f>46/$BT$3</f>
        <v>0.12432432432432433</v>
      </c>
      <c r="BV170">
        <v>32</v>
      </c>
      <c r="BW170" s="5">
        <f>BV170/BV176</f>
        <v>0.128</v>
      </c>
      <c r="BX170" s="5">
        <f>32/$BX$3</f>
        <v>0.128</v>
      </c>
      <c r="BZ170">
        <v>34</v>
      </c>
      <c r="CA170" s="5">
        <f>BZ170/BZ176</f>
        <v>0.13600000000000001</v>
      </c>
      <c r="CB170" s="5">
        <f>34/$CB$3</f>
        <v>0.13600000000000001</v>
      </c>
      <c r="CD170">
        <v>25</v>
      </c>
      <c r="CE170" s="5">
        <f>CD170/CD176</f>
        <v>0.11904761904761904</v>
      </c>
      <c r="CF170" s="5">
        <f>25/$CF$3</f>
        <v>0.11904761904761904</v>
      </c>
      <c r="CH170">
        <v>37</v>
      </c>
      <c r="CI170" s="5">
        <f>CH170/CH176</f>
        <v>0.16818181818181818</v>
      </c>
      <c r="CJ170" s="5">
        <f>37/$CJ$3</f>
        <v>0.16818181818181818</v>
      </c>
      <c r="CL170">
        <v>43</v>
      </c>
      <c r="CM170" s="5">
        <f>CL170/CL176</f>
        <v>0.13437499999999999</v>
      </c>
      <c r="CN170" s="5">
        <f>43/$CN$3</f>
        <v>0.13437499999999999</v>
      </c>
    </row>
    <row r="171" spans="1:92" x14ac:dyDescent="0.25">
      <c r="A171" s="1" t="s">
        <v>571</v>
      </c>
      <c r="B171">
        <v>126</v>
      </c>
      <c r="C171" s="5">
        <f>B171/B176</f>
        <v>0.126</v>
      </c>
      <c r="D171" s="5">
        <f>126/$D$3</f>
        <v>0.126</v>
      </c>
      <c r="F171">
        <v>80</v>
      </c>
      <c r="G171" s="5">
        <f>F171/F176</f>
        <v>0.16949152542372881</v>
      </c>
      <c r="H171" s="5">
        <f>80/$H$3</f>
        <v>0.16949152542372881</v>
      </c>
      <c r="J171">
        <v>52</v>
      </c>
      <c r="K171" s="5">
        <f>J171/J176</f>
        <v>0.18245614035087721</v>
      </c>
      <c r="L171" s="10">
        <f>52/$L$3</f>
        <v>0.18245614035087721</v>
      </c>
      <c r="N171">
        <v>45</v>
      </c>
      <c r="O171" s="5">
        <f>N171/N176</f>
        <v>0.19396551724137931</v>
      </c>
      <c r="P171" s="10">
        <f>45/$P$3</f>
        <v>0.19396551724137931</v>
      </c>
      <c r="R171">
        <v>54</v>
      </c>
      <c r="S171" s="5">
        <f>R171/R176</f>
        <v>0.18367346938775511</v>
      </c>
      <c r="T171" s="10">
        <f>54/$T$3</f>
        <v>0.18367346938775511</v>
      </c>
      <c r="V171">
        <v>77</v>
      </c>
      <c r="W171" s="5">
        <f>V171/V176</f>
        <v>0.18509615384615385</v>
      </c>
      <c r="X171" s="10">
        <f>77/$X$3</f>
        <v>0.18509615384615385</v>
      </c>
      <c r="Z171">
        <v>74</v>
      </c>
      <c r="AA171" s="5">
        <f>Z171/Z176</f>
        <v>0.1761904761904762</v>
      </c>
      <c r="AB171" s="10">
        <f>74/$AB$3</f>
        <v>0.1761904761904762</v>
      </c>
      <c r="AD171">
        <v>58</v>
      </c>
      <c r="AE171" s="5">
        <f>AD171/AD176</f>
        <v>0.11600000000000001</v>
      </c>
      <c r="AF171" s="5">
        <f>58/$AF$3</f>
        <v>0.11600000000000001</v>
      </c>
      <c r="AH171">
        <v>68</v>
      </c>
      <c r="AI171" s="5">
        <f>AH171/AH176</f>
        <v>0.13600000000000001</v>
      </c>
      <c r="AJ171" s="5">
        <f>68/$AJ$3</f>
        <v>0.13600000000000001</v>
      </c>
      <c r="AL171">
        <v>24</v>
      </c>
      <c r="AM171" s="5">
        <f>AL171/AL176</f>
        <v>0.14201183431952663</v>
      </c>
      <c r="AN171" s="5">
        <f>24/$AN$3</f>
        <v>0.14201183431952663</v>
      </c>
      <c r="AP171">
        <v>42</v>
      </c>
      <c r="AQ171" s="5">
        <f>AP171/AP176</f>
        <v>0.13504823151125403</v>
      </c>
      <c r="AR171" s="5">
        <f>42/$AR$3</f>
        <v>0.13504823151125403</v>
      </c>
      <c r="AT171">
        <v>46</v>
      </c>
      <c r="AU171" s="5">
        <f>AT171/AT176</f>
        <v>0.11794871794871795</v>
      </c>
      <c r="AV171" s="5">
        <f>46/$AV$3</f>
        <v>0.11794871794871795</v>
      </c>
      <c r="AX171">
        <v>14</v>
      </c>
      <c r="AY171" s="5">
        <f>AX171/AX176</f>
        <v>0.1076923076923077</v>
      </c>
      <c r="AZ171" s="5">
        <f>14/$AZ$3</f>
        <v>0.1076923076923077</v>
      </c>
      <c r="BB171">
        <v>52</v>
      </c>
      <c r="BC171" s="5">
        <f>BB171/BB176</f>
        <v>0.12807881773399016</v>
      </c>
      <c r="BD171" s="5">
        <f>52/$BD$3</f>
        <v>0.12807881773399016</v>
      </c>
      <c r="BF171">
        <v>44</v>
      </c>
      <c r="BG171" s="5">
        <f>BF171/BF176</f>
        <v>0.11827956989247312</v>
      </c>
      <c r="BH171" s="5">
        <f>44/$BH$3</f>
        <v>0.11827956989247312</v>
      </c>
      <c r="BJ171">
        <v>30</v>
      </c>
      <c r="BK171" s="5">
        <f>BJ171/BJ176</f>
        <v>0.13513513513513514</v>
      </c>
      <c r="BL171" s="5">
        <f>30/$BL$3</f>
        <v>0.13513513513513514</v>
      </c>
      <c r="BN171">
        <v>50</v>
      </c>
      <c r="BO171" s="5">
        <f>BN171/BN176</f>
        <v>0.13157894736842105</v>
      </c>
      <c r="BP171" s="5">
        <f>50/$BP$3</f>
        <v>0.13157894736842105</v>
      </c>
      <c r="BR171">
        <v>48</v>
      </c>
      <c r="BS171" s="5">
        <f>BR171/BR176</f>
        <v>0.12972972972972974</v>
      </c>
      <c r="BT171" s="5">
        <f>48/$BT$3</f>
        <v>0.12972972972972974</v>
      </c>
      <c r="BV171">
        <v>28</v>
      </c>
      <c r="BW171" s="5">
        <f>BV171/BV176</f>
        <v>0.112</v>
      </c>
      <c r="BX171" s="5">
        <f>28/$BX$3</f>
        <v>0.112</v>
      </c>
      <c r="BZ171">
        <v>31</v>
      </c>
      <c r="CA171" s="5">
        <f>BZ171/BZ176</f>
        <v>0.124</v>
      </c>
      <c r="CB171" s="5">
        <f>31/$CB$3</f>
        <v>0.124</v>
      </c>
      <c r="CD171">
        <v>26</v>
      </c>
      <c r="CE171" s="5">
        <f>CD171/CD176</f>
        <v>0.12380952380952381</v>
      </c>
      <c r="CF171" s="5">
        <f>26/$CF$3</f>
        <v>0.12380952380952381</v>
      </c>
      <c r="CH171">
        <v>35</v>
      </c>
      <c r="CI171" s="5">
        <f>CH171/CH176</f>
        <v>0.15909090909090909</v>
      </c>
      <c r="CJ171" s="5">
        <f>35/$CJ$3</f>
        <v>0.15909090909090909</v>
      </c>
      <c r="CL171">
        <v>34</v>
      </c>
      <c r="CM171" s="5">
        <f>CL171/CL176</f>
        <v>0.10625</v>
      </c>
      <c r="CN171" s="5">
        <f>34/$CN$3</f>
        <v>0.10625</v>
      </c>
    </row>
    <row r="172" spans="1:92" x14ac:dyDescent="0.25">
      <c r="A172" s="1" t="s">
        <v>572</v>
      </c>
      <c r="B172">
        <v>56</v>
      </c>
      <c r="C172" s="5">
        <f>B172/B176</f>
        <v>5.6000000000000001E-2</v>
      </c>
      <c r="D172" s="5">
        <f>56/$D$3</f>
        <v>5.6000000000000001E-2</v>
      </c>
      <c r="F172">
        <v>30</v>
      </c>
      <c r="G172" s="5">
        <f>F172/F176</f>
        <v>6.3559322033898302E-2</v>
      </c>
      <c r="H172" s="5">
        <f>30/$H$3</f>
        <v>6.3559322033898302E-2</v>
      </c>
      <c r="J172">
        <v>14</v>
      </c>
      <c r="K172" s="5">
        <f>J172/J176</f>
        <v>4.912280701754386E-2</v>
      </c>
      <c r="L172" s="5">
        <f>14/$L$3</f>
        <v>4.912280701754386E-2</v>
      </c>
      <c r="N172">
        <v>20</v>
      </c>
      <c r="O172" s="5">
        <f>N172/N176</f>
        <v>8.6206896551724144E-2</v>
      </c>
      <c r="P172" s="5">
        <f>20/$P$3</f>
        <v>8.6206896551724144E-2</v>
      </c>
      <c r="R172">
        <v>19</v>
      </c>
      <c r="S172" s="5">
        <f>R172/R176</f>
        <v>6.4625850340136057E-2</v>
      </c>
      <c r="T172" s="5">
        <f>19/$T$3</f>
        <v>6.4625850340136057E-2</v>
      </c>
      <c r="V172">
        <v>25</v>
      </c>
      <c r="W172" s="5">
        <f>V172/V176</f>
        <v>6.0096153846153848E-2</v>
      </c>
      <c r="X172" s="5">
        <f>25/$X$3</f>
        <v>6.0096153846153848E-2</v>
      </c>
      <c r="Z172">
        <v>27</v>
      </c>
      <c r="AA172" s="5">
        <f>Z172/Z176</f>
        <v>6.4285714285714279E-2</v>
      </c>
      <c r="AB172" s="5">
        <f>27/$AB$3</f>
        <v>6.4285714285714279E-2</v>
      </c>
      <c r="AD172">
        <v>28</v>
      </c>
      <c r="AE172" s="5">
        <f>AD172/AD176</f>
        <v>5.6000000000000001E-2</v>
      </c>
      <c r="AF172" s="5">
        <f>28/$AF$3</f>
        <v>5.6000000000000001E-2</v>
      </c>
      <c r="AH172">
        <v>28</v>
      </c>
      <c r="AI172" s="5">
        <f>AH172/AH176</f>
        <v>5.6000000000000001E-2</v>
      </c>
      <c r="AJ172" s="5">
        <f>28/$AJ$3</f>
        <v>5.6000000000000001E-2</v>
      </c>
      <c r="AL172">
        <v>13</v>
      </c>
      <c r="AM172" s="5">
        <f>AL172/AL176</f>
        <v>7.6923076923076927E-2</v>
      </c>
      <c r="AN172" s="5">
        <f>13/$AN$3</f>
        <v>7.6923076923076927E-2</v>
      </c>
      <c r="AP172">
        <v>19</v>
      </c>
      <c r="AQ172" s="5">
        <f>AP172/AP176</f>
        <v>6.1093247588424437E-2</v>
      </c>
      <c r="AR172" s="5">
        <f>19/$AR$3</f>
        <v>6.1093247588424437E-2</v>
      </c>
      <c r="AT172">
        <v>21</v>
      </c>
      <c r="AU172" s="5">
        <f>AT172/AT176</f>
        <v>5.3846153846153849E-2</v>
      </c>
      <c r="AV172" s="5">
        <f>21/$AV$3</f>
        <v>5.3846153846153849E-2</v>
      </c>
      <c r="AX172">
        <v>3</v>
      </c>
      <c r="AY172" s="5">
        <f>AX172/AX176</f>
        <v>2.3076923076923078E-2</v>
      </c>
      <c r="AZ172" s="5">
        <f>3/$AZ$3</f>
        <v>2.3076923076923078E-2</v>
      </c>
      <c r="BB172">
        <v>23</v>
      </c>
      <c r="BC172" s="5">
        <f>BB172/BB176</f>
        <v>5.6650246305418719E-2</v>
      </c>
      <c r="BD172" s="5">
        <f>23/$BD$3</f>
        <v>5.6650246305418719E-2</v>
      </c>
      <c r="BF172">
        <v>19</v>
      </c>
      <c r="BG172" s="5">
        <f>BF172/BF176</f>
        <v>5.1075268817204304E-2</v>
      </c>
      <c r="BH172" s="5">
        <f>19/$BH$3</f>
        <v>5.1075268817204304E-2</v>
      </c>
      <c r="BJ172">
        <v>14</v>
      </c>
      <c r="BK172" s="5">
        <f>BJ172/BJ176</f>
        <v>6.3063063063063057E-2</v>
      </c>
      <c r="BL172" s="5">
        <f>14/$BL$3</f>
        <v>6.3063063063063057E-2</v>
      </c>
      <c r="BN172">
        <v>18</v>
      </c>
      <c r="BO172" s="5">
        <f>BN172/BN176</f>
        <v>4.736842105263158E-2</v>
      </c>
      <c r="BP172" s="5">
        <f>18/$BP$3</f>
        <v>4.736842105263158E-2</v>
      </c>
      <c r="BR172">
        <v>20</v>
      </c>
      <c r="BS172" s="5">
        <f>BR172/BR176</f>
        <v>5.4054054054054057E-2</v>
      </c>
      <c r="BT172" s="5">
        <f>20/$BT$3</f>
        <v>5.4054054054054057E-2</v>
      </c>
      <c r="BV172">
        <v>18</v>
      </c>
      <c r="BW172" s="5">
        <f>BV172/BV176</f>
        <v>7.1999999999999995E-2</v>
      </c>
      <c r="BX172" s="5">
        <f>18/$BX$3</f>
        <v>7.1999999999999995E-2</v>
      </c>
      <c r="BZ172">
        <v>12</v>
      </c>
      <c r="CA172" s="5">
        <f>BZ172/BZ176</f>
        <v>4.8000000000000001E-2</v>
      </c>
      <c r="CB172" s="5">
        <f>12/$CB$3</f>
        <v>4.8000000000000001E-2</v>
      </c>
      <c r="CD172">
        <v>8</v>
      </c>
      <c r="CE172" s="5">
        <f>CD172/CD176</f>
        <v>3.8095238095238099E-2</v>
      </c>
      <c r="CF172" s="5">
        <f>8/$CF$3</f>
        <v>3.8095238095238099E-2</v>
      </c>
      <c r="CH172">
        <v>16</v>
      </c>
      <c r="CI172" s="5">
        <f>CH172/CH176</f>
        <v>7.2727272727272724E-2</v>
      </c>
      <c r="CJ172" s="5">
        <f>16/$CJ$3</f>
        <v>7.2727272727272724E-2</v>
      </c>
      <c r="CL172">
        <v>20</v>
      </c>
      <c r="CM172" s="5">
        <f>CL172/CL176</f>
        <v>6.25E-2</v>
      </c>
      <c r="CN172" s="5">
        <f>20/$CN$3</f>
        <v>6.25E-2</v>
      </c>
    </row>
    <row r="173" spans="1:92" x14ac:dyDescent="0.25">
      <c r="A173" s="1" t="s">
        <v>573</v>
      </c>
      <c r="B173">
        <v>343</v>
      </c>
      <c r="C173" s="5">
        <f>B173/B176</f>
        <v>0.34300000000000003</v>
      </c>
      <c r="D173" s="5">
        <f>343/$D$3</f>
        <v>0.34300000000000003</v>
      </c>
      <c r="F173">
        <v>183</v>
      </c>
      <c r="G173" s="5">
        <f>F173/F176</f>
        <v>0.38771186440677968</v>
      </c>
      <c r="H173" s="5">
        <f>183/$H$3</f>
        <v>0.38771186440677968</v>
      </c>
      <c r="J173">
        <v>103</v>
      </c>
      <c r="K173" s="5">
        <f>J173/J176</f>
        <v>0.36140350877192984</v>
      </c>
      <c r="L173" s="5">
        <f>103/$L$3</f>
        <v>0.36140350877192984</v>
      </c>
      <c r="N173">
        <v>92</v>
      </c>
      <c r="O173" s="5">
        <f>N173/N176</f>
        <v>0.39655172413793105</v>
      </c>
      <c r="P173" s="10">
        <f>92/$P$3</f>
        <v>0.39655172413793105</v>
      </c>
      <c r="R173">
        <v>117</v>
      </c>
      <c r="S173" s="5">
        <f>R173/R176</f>
        <v>0.39795918367346939</v>
      </c>
      <c r="T173" s="10">
        <f>117/$T$3</f>
        <v>0.39795918367346939</v>
      </c>
      <c r="V173">
        <v>177</v>
      </c>
      <c r="W173" s="5">
        <f>V173/V176</f>
        <v>0.42548076923076922</v>
      </c>
      <c r="X173" s="10">
        <f>177/$X$3</f>
        <v>0.42548076923076922</v>
      </c>
      <c r="Z173">
        <v>168</v>
      </c>
      <c r="AA173" s="5">
        <f>Z173/Z176</f>
        <v>0.4</v>
      </c>
      <c r="AB173" s="10">
        <f>168/$AB$3</f>
        <v>0.4</v>
      </c>
      <c r="AD173">
        <v>133</v>
      </c>
      <c r="AE173" s="5">
        <f>AD173/AD176</f>
        <v>0.26600000000000001</v>
      </c>
      <c r="AF173" s="11">
        <f>133/$AF$3</f>
        <v>0.26600000000000001</v>
      </c>
      <c r="AH173">
        <v>210</v>
      </c>
      <c r="AI173" s="5">
        <f>AH173/AH176</f>
        <v>0.42</v>
      </c>
      <c r="AJ173" s="10">
        <f>210/$AJ$3</f>
        <v>0.42</v>
      </c>
      <c r="AL173">
        <v>48</v>
      </c>
      <c r="AM173" s="5">
        <f>AL173/AL176</f>
        <v>0.28402366863905326</v>
      </c>
      <c r="AN173" s="5">
        <f>48/$AN$3</f>
        <v>0.28402366863905326</v>
      </c>
      <c r="AP173">
        <v>106</v>
      </c>
      <c r="AQ173" s="5">
        <f>AP173/AP176</f>
        <v>0.34083601286173631</v>
      </c>
      <c r="AR173" s="5">
        <f>106/$AR$3</f>
        <v>0.34083601286173631</v>
      </c>
      <c r="AT173">
        <v>136</v>
      </c>
      <c r="AU173" s="5">
        <f>AT173/AT176</f>
        <v>0.3487179487179487</v>
      </c>
      <c r="AV173" s="5">
        <f>136/$AV$3</f>
        <v>0.3487179487179487</v>
      </c>
      <c r="AX173">
        <v>53</v>
      </c>
      <c r="AY173" s="5">
        <f>AX173/AX176</f>
        <v>0.40769230769230769</v>
      </c>
      <c r="AZ173" s="5">
        <f>53/$AZ$3</f>
        <v>0.40769230769230769</v>
      </c>
      <c r="BB173">
        <v>153</v>
      </c>
      <c r="BC173" s="5">
        <f>BB173/BB176</f>
        <v>0.37684729064039407</v>
      </c>
      <c r="BD173" s="5">
        <f>153/$BD$3</f>
        <v>0.37684729064039407</v>
      </c>
      <c r="BF173">
        <v>122</v>
      </c>
      <c r="BG173" s="5">
        <f>BF173/BF176</f>
        <v>0.32795698924731181</v>
      </c>
      <c r="BH173" s="5">
        <f>122/$BH$3</f>
        <v>0.32795698924731181</v>
      </c>
      <c r="BJ173">
        <v>68</v>
      </c>
      <c r="BK173" s="5">
        <f>BJ173/BJ176</f>
        <v>0.30630630630630629</v>
      </c>
      <c r="BL173" s="5">
        <f>68/$BL$3</f>
        <v>0.30630630630630629</v>
      </c>
      <c r="BN173">
        <v>136</v>
      </c>
      <c r="BO173" s="5">
        <f>BN173/BN176</f>
        <v>0.35789473684210527</v>
      </c>
      <c r="BP173" s="5">
        <f>136/$BP$3</f>
        <v>0.35789473684210527</v>
      </c>
      <c r="BR173">
        <v>126</v>
      </c>
      <c r="BS173" s="5">
        <f>BR173/BR176</f>
        <v>0.34054054054054056</v>
      </c>
      <c r="BT173" s="5">
        <f>126/$BT$3</f>
        <v>0.34054054054054056</v>
      </c>
      <c r="BV173">
        <v>81</v>
      </c>
      <c r="BW173" s="5">
        <f>BV173/BV176</f>
        <v>0.32400000000000001</v>
      </c>
      <c r="BX173" s="5">
        <f>81/$BX$3</f>
        <v>0.32400000000000001</v>
      </c>
      <c r="BZ173">
        <v>86</v>
      </c>
      <c r="CA173" s="5">
        <f>BZ173/BZ176</f>
        <v>0.34399999999999997</v>
      </c>
      <c r="CB173" s="5">
        <f>86/$CB$3</f>
        <v>0.34399999999999997</v>
      </c>
      <c r="CD173">
        <v>77</v>
      </c>
      <c r="CE173" s="5">
        <f>CD173/CD176</f>
        <v>0.36666666666666664</v>
      </c>
      <c r="CF173" s="5">
        <f>77/$CF$3</f>
        <v>0.36666666666666664</v>
      </c>
      <c r="CH173">
        <v>80</v>
      </c>
      <c r="CI173" s="5">
        <f>CH173/CH176</f>
        <v>0.36363636363636365</v>
      </c>
      <c r="CJ173" s="5">
        <f>80/$CJ$3</f>
        <v>0.36363636363636365</v>
      </c>
      <c r="CL173">
        <v>100</v>
      </c>
      <c r="CM173" s="5">
        <f>CL173/CL176</f>
        <v>0.3125</v>
      </c>
      <c r="CN173" s="5">
        <f>100/$CN$3</f>
        <v>0.3125</v>
      </c>
    </row>
    <row r="174" spans="1:92" x14ac:dyDescent="0.25">
      <c r="A174" s="1" t="s">
        <v>574</v>
      </c>
      <c r="B174">
        <v>61</v>
      </c>
      <c r="C174" s="5">
        <f>B174/B176</f>
        <v>6.0999999999999999E-2</v>
      </c>
      <c r="D174" s="5">
        <f>61/$D$3</f>
        <v>6.0999999999999999E-2</v>
      </c>
      <c r="F174">
        <v>23</v>
      </c>
      <c r="G174" s="5">
        <f>F174/F176</f>
        <v>4.8728813559322036E-2</v>
      </c>
      <c r="H174" s="5">
        <f>23/$H$3</f>
        <v>4.8728813559322036E-2</v>
      </c>
      <c r="J174">
        <v>21</v>
      </c>
      <c r="K174" s="5">
        <f>J174/J176</f>
        <v>7.3684210526315783E-2</v>
      </c>
      <c r="L174" s="5">
        <f>21/$L$3</f>
        <v>7.3684210526315783E-2</v>
      </c>
      <c r="N174">
        <v>11</v>
      </c>
      <c r="O174" s="5">
        <f>N174/N176</f>
        <v>4.7413793103448273E-2</v>
      </c>
      <c r="P174" s="5">
        <f>11/$P$3</f>
        <v>4.7413793103448273E-2</v>
      </c>
      <c r="R174">
        <v>14</v>
      </c>
      <c r="S174" s="5">
        <f>R174/R176</f>
        <v>4.7619047619047616E-2</v>
      </c>
      <c r="T174" s="5">
        <f>14/$T$3</f>
        <v>4.7619047619047616E-2</v>
      </c>
      <c r="V174">
        <v>20</v>
      </c>
      <c r="W174" s="5">
        <f>V174/V176</f>
        <v>4.807692307692308E-2</v>
      </c>
      <c r="X174" s="5">
        <f>20/$X$3</f>
        <v>4.807692307692308E-2</v>
      </c>
      <c r="Z174">
        <v>20</v>
      </c>
      <c r="AA174" s="5">
        <f>Z174/Z176</f>
        <v>4.7619047619047616E-2</v>
      </c>
      <c r="AB174" s="5">
        <f>20/$AB$3</f>
        <v>4.7619047619047616E-2</v>
      </c>
      <c r="AD174">
        <v>34</v>
      </c>
      <c r="AE174" s="5">
        <f>AD174/AD176</f>
        <v>6.8000000000000005E-2</v>
      </c>
      <c r="AF174" s="5">
        <f>34/$AF$3</f>
        <v>6.8000000000000005E-2</v>
      </c>
      <c r="AH174">
        <v>27</v>
      </c>
      <c r="AI174" s="5">
        <f>AH174/AH176</f>
        <v>5.3999999999999999E-2</v>
      </c>
      <c r="AJ174" s="5">
        <f>27/$AJ$3</f>
        <v>5.3999999999999999E-2</v>
      </c>
      <c r="AL174">
        <v>13</v>
      </c>
      <c r="AM174" s="5">
        <f>AL174/AL176</f>
        <v>7.6923076923076927E-2</v>
      </c>
      <c r="AN174" s="5">
        <f>13/$AN$3</f>
        <v>7.6923076923076927E-2</v>
      </c>
      <c r="AP174">
        <v>16</v>
      </c>
      <c r="AQ174" s="5">
        <f>AP174/AP176</f>
        <v>5.1446945337620578E-2</v>
      </c>
      <c r="AR174" s="5">
        <f>16/$AR$3</f>
        <v>5.1446945337620578E-2</v>
      </c>
      <c r="AT174">
        <v>21</v>
      </c>
      <c r="AU174" s="5">
        <f>AT174/AT176</f>
        <v>5.3846153846153849E-2</v>
      </c>
      <c r="AV174" s="5">
        <f>21/$AV$3</f>
        <v>5.3846153846153849E-2</v>
      </c>
      <c r="AX174">
        <v>11</v>
      </c>
      <c r="AY174" s="5">
        <f>AX174/AX176</f>
        <v>8.461538461538462E-2</v>
      </c>
      <c r="AZ174" s="5">
        <f>11/$AZ$3</f>
        <v>8.461538461538462E-2</v>
      </c>
      <c r="BB174">
        <v>31</v>
      </c>
      <c r="BC174" s="5">
        <f>BB174/BB176</f>
        <v>7.6354679802955669E-2</v>
      </c>
      <c r="BD174" s="5">
        <f>31/$BD$3</f>
        <v>7.6354679802955669E-2</v>
      </c>
      <c r="BF174">
        <v>17</v>
      </c>
      <c r="BG174" s="5">
        <f>BF174/BF176</f>
        <v>4.5698924731182797E-2</v>
      </c>
      <c r="BH174" s="5">
        <f>17/$BH$3</f>
        <v>4.5698924731182797E-2</v>
      </c>
      <c r="BJ174">
        <v>13</v>
      </c>
      <c r="BK174" s="5">
        <f>BJ174/BJ176</f>
        <v>5.8558558558558557E-2</v>
      </c>
      <c r="BL174" s="5">
        <f>13/$BL$3</f>
        <v>5.8558558558558557E-2</v>
      </c>
      <c r="BN174">
        <v>26</v>
      </c>
      <c r="BO174" s="5">
        <f>BN174/BN176</f>
        <v>6.8421052631578952E-2</v>
      </c>
      <c r="BP174" s="5">
        <f>26/$BP$3</f>
        <v>6.8421052631578952E-2</v>
      </c>
      <c r="BR174">
        <v>23</v>
      </c>
      <c r="BS174" s="5">
        <f>BR174/BR176</f>
        <v>6.2162162162162166E-2</v>
      </c>
      <c r="BT174" s="5">
        <f>23/$BT$3</f>
        <v>6.2162162162162166E-2</v>
      </c>
      <c r="BV174">
        <v>12</v>
      </c>
      <c r="BW174" s="5">
        <f>BV174/BV176</f>
        <v>4.8000000000000001E-2</v>
      </c>
      <c r="BX174" s="5">
        <f>12/$BX$3</f>
        <v>4.8000000000000001E-2</v>
      </c>
      <c r="BZ174">
        <v>14</v>
      </c>
      <c r="CA174" s="5">
        <f>BZ174/BZ176</f>
        <v>5.6000000000000001E-2</v>
      </c>
      <c r="CB174" s="5">
        <f>14/$CB$3</f>
        <v>5.6000000000000001E-2</v>
      </c>
      <c r="CD174">
        <v>10</v>
      </c>
      <c r="CE174" s="5">
        <f>CD174/CD176</f>
        <v>4.7619047619047616E-2</v>
      </c>
      <c r="CF174" s="5">
        <f>10/$CF$3</f>
        <v>4.7619047619047616E-2</v>
      </c>
      <c r="CH174">
        <v>19</v>
      </c>
      <c r="CI174" s="5">
        <f>CH174/CH176</f>
        <v>8.6363636363636365E-2</v>
      </c>
      <c r="CJ174" s="5">
        <f>19/$CJ$3</f>
        <v>8.6363636363636365E-2</v>
      </c>
      <c r="CL174">
        <v>18</v>
      </c>
      <c r="CM174" s="5">
        <f>CL174/CL176</f>
        <v>5.6250000000000001E-2</v>
      </c>
      <c r="CN174" s="5">
        <f>18/$CN$3</f>
        <v>5.6250000000000001E-2</v>
      </c>
    </row>
    <row r="175" spans="1:92" x14ac:dyDescent="0.25">
      <c r="A175" s="1" t="s">
        <v>12</v>
      </c>
      <c r="B175">
        <v>458</v>
      </c>
      <c r="C175" s="5">
        <f>B175/B176</f>
        <v>0.45800000000000002</v>
      </c>
      <c r="D175" s="5">
        <f>458/$D$3</f>
        <v>0.45800000000000002</v>
      </c>
      <c r="F175">
        <v>193</v>
      </c>
      <c r="G175" s="5">
        <f>F175/F176</f>
        <v>0.40889830508474578</v>
      </c>
      <c r="H175" s="5">
        <f>193/$H$3</f>
        <v>0.40889830508474578</v>
      </c>
      <c r="J175">
        <v>123</v>
      </c>
      <c r="K175" s="5">
        <f>J175/J176</f>
        <v>0.43157894736842106</v>
      </c>
      <c r="L175" s="5">
        <f>123/$L$3</f>
        <v>0.43157894736842106</v>
      </c>
      <c r="N175">
        <v>90</v>
      </c>
      <c r="O175" s="5">
        <f>N175/N176</f>
        <v>0.38793103448275862</v>
      </c>
      <c r="P175" s="11">
        <f>90/$P$3</f>
        <v>0.38793103448275862</v>
      </c>
      <c r="R175">
        <v>121</v>
      </c>
      <c r="S175" s="5">
        <f>R175/R176</f>
        <v>0.41156462585034015</v>
      </c>
      <c r="T175" s="5">
        <f>121/$T$3</f>
        <v>0.41156462585034015</v>
      </c>
      <c r="V175">
        <v>159</v>
      </c>
      <c r="W175" s="5">
        <f>V175/V176</f>
        <v>0.38221153846153844</v>
      </c>
      <c r="X175" s="11">
        <f>159/$X$3</f>
        <v>0.38221153846153844</v>
      </c>
      <c r="Z175">
        <v>167</v>
      </c>
      <c r="AA175" s="5">
        <f>Z175/Z176</f>
        <v>0.39761904761904759</v>
      </c>
      <c r="AB175" s="11">
        <f>167/$AB$3</f>
        <v>0.39761904761904759</v>
      </c>
      <c r="AD175">
        <v>263</v>
      </c>
      <c r="AE175" s="5">
        <f>AD175/AD176</f>
        <v>0.52600000000000002</v>
      </c>
      <c r="AF175" s="10">
        <f>263/$AF$3</f>
        <v>0.52600000000000002</v>
      </c>
      <c r="AH175">
        <v>195</v>
      </c>
      <c r="AI175" s="5">
        <f>AH175/AH176</f>
        <v>0.39</v>
      </c>
      <c r="AJ175" s="11">
        <f>195/$AJ$3</f>
        <v>0.39</v>
      </c>
      <c r="AL175">
        <v>80</v>
      </c>
      <c r="AM175" s="5">
        <f>AL175/AL176</f>
        <v>0.47337278106508873</v>
      </c>
      <c r="AN175" s="5">
        <f>80/$AN$3</f>
        <v>0.47337278106508873</v>
      </c>
      <c r="AP175">
        <v>145</v>
      </c>
      <c r="AQ175" s="5">
        <f>AP175/AP176</f>
        <v>0.4662379421221865</v>
      </c>
      <c r="AR175" s="5">
        <f>145/$AR$3</f>
        <v>0.4662379421221865</v>
      </c>
      <c r="AT175">
        <v>185</v>
      </c>
      <c r="AU175" s="5">
        <f>AT175/AT176</f>
        <v>0.47435897435897434</v>
      </c>
      <c r="AV175" s="5">
        <f>185/$AV$3</f>
        <v>0.47435897435897434</v>
      </c>
      <c r="AX175">
        <v>48</v>
      </c>
      <c r="AY175" s="5">
        <f>AX175/AX176</f>
        <v>0.36923076923076925</v>
      </c>
      <c r="AZ175" s="11">
        <f>48/$AZ$3</f>
        <v>0.36923076923076925</v>
      </c>
      <c r="BB175">
        <v>176</v>
      </c>
      <c r="BC175" s="5">
        <f>BB175/BB176</f>
        <v>0.43349753694581283</v>
      </c>
      <c r="BD175" s="5">
        <f>176/$BD$3</f>
        <v>0.43349753694581283</v>
      </c>
      <c r="BF175">
        <v>183</v>
      </c>
      <c r="BG175" s="5">
        <f>BF175/BF176</f>
        <v>0.49193548387096775</v>
      </c>
      <c r="BH175" s="5">
        <f>183/$BH$3</f>
        <v>0.49193548387096775</v>
      </c>
      <c r="BJ175">
        <v>99</v>
      </c>
      <c r="BK175" s="5">
        <f>BJ175/BJ176</f>
        <v>0.44594594594594594</v>
      </c>
      <c r="BL175" s="5">
        <f>99/$BL$3</f>
        <v>0.44594594594594594</v>
      </c>
      <c r="BN175">
        <v>176</v>
      </c>
      <c r="BO175" s="5">
        <f>BN175/BN176</f>
        <v>0.4631578947368421</v>
      </c>
      <c r="BP175" s="5">
        <f>176/$BP$3</f>
        <v>0.4631578947368421</v>
      </c>
      <c r="BR175">
        <v>164</v>
      </c>
      <c r="BS175" s="5">
        <f>BR175/BR176</f>
        <v>0.44324324324324327</v>
      </c>
      <c r="BT175" s="5">
        <f>164/$BT$3</f>
        <v>0.44324324324324327</v>
      </c>
      <c r="BV175">
        <v>118</v>
      </c>
      <c r="BW175" s="5">
        <f>BV175/BV176</f>
        <v>0.47199999999999998</v>
      </c>
      <c r="BX175" s="5">
        <f>118/$BX$3</f>
        <v>0.47199999999999998</v>
      </c>
      <c r="BZ175">
        <v>113</v>
      </c>
      <c r="CA175" s="5">
        <f>BZ175/BZ176</f>
        <v>0.45200000000000001</v>
      </c>
      <c r="CB175" s="5">
        <f>113/$CB$3</f>
        <v>0.45200000000000001</v>
      </c>
      <c r="CD175">
        <v>96</v>
      </c>
      <c r="CE175" s="5">
        <f>CD175/CD176</f>
        <v>0.45714285714285713</v>
      </c>
      <c r="CF175" s="5">
        <f>96/$CF$3</f>
        <v>0.45714285714285713</v>
      </c>
      <c r="CH175">
        <v>89</v>
      </c>
      <c r="CI175" s="5">
        <f>CH175/CH176</f>
        <v>0.40454545454545454</v>
      </c>
      <c r="CJ175" s="5">
        <f>89/$CJ$3</f>
        <v>0.40454545454545454</v>
      </c>
      <c r="CL175">
        <v>160</v>
      </c>
      <c r="CM175" s="5">
        <f>CL175/CL176</f>
        <v>0.5</v>
      </c>
      <c r="CN175" s="5">
        <f>160/$CN$3</f>
        <v>0.5</v>
      </c>
    </row>
    <row r="176" spans="1:92" s="6" customFormat="1" x14ac:dyDescent="0.25">
      <c r="A176" s="7" t="s">
        <v>13</v>
      </c>
      <c r="B176" s="6">
        <v>1000</v>
      </c>
      <c r="F176" s="6">
        <v>472</v>
      </c>
      <c r="J176" s="6">
        <v>285</v>
      </c>
      <c r="N176" s="6">
        <v>232</v>
      </c>
      <c r="R176" s="6">
        <v>294</v>
      </c>
      <c r="V176" s="6">
        <v>416</v>
      </c>
      <c r="Z176" s="6">
        <v>420</v>
      </c>
      <c r="AD176" s="6">
        <v>500</v>
      </c>
      <c r="AH176" s="6">
        <v>500</v>
      </c>
      <c r="AL176" s="6">
        <v>169</v>
      </c>
      <c r="AP176" s="6">
        <v>311</v>
      </c>
      <c r="AT176" s="6">
        <v>390</v>
      </c>
      <c r="AX176" s="6">
        <v>130</v>
      </c>
      <c r="BB176" s="6">
        <v>406</v>
      </c>
      <c r="BF176" s="6">
        <v>372</v>
      </c>
      <c r="BJ176" s="6">
        <v>222</v>
      </c>
      <c r="BN176" s="6">
        <v>380</v>
      </c>
      <c r="BR176" s="6">
        <v>370</v>
      </c>
      <c r="BV176" s="6">
        <v>250</v>
      </c>
      <c r="BZ176" s="6">
        <v>250</v>
      </c>
      <c r="CD176" s="6">
        <v>210</v>
      </c>
      <c r="CH176" s="6">
        <v>220</v>
      </c>
      <c r="CL176" s="6">
        <v>320</v>
      </c>
    </row>
    <row r="177" spans="1:93" hidden="1" x14ac:dyDescent="0.25">
      <c r="A177" s="8" t="s">
        <v>14</v>
      </c>
      <c r="B177">
        <v>0</v>
      </c>
      <c r="F177">
        <v>0</v>
      </c>
      <c r="J177">
        <v>0</v>
      </c>
      <c r="N177">
        <v>0</v>
      </c>
      <c r="R177">
        <v>0</v>
      </c>
      <c r="V177">
        <v>0</v>
      </c>
      <c r="Z177">
        <v>0</v>
      </c>
      <c r="AD177">
        <v>0</v>
      </c>
      <c r="AH177">
        <v>0</v>
      </c>
      <c r="AL177">
        <v>0</v>
      </c>
      <c r="AP177">
        <v>0</v>
      </c>
      <c r="AT177">
        <v>0</v>
      </c>
      <c r="AX177">
        <v>0</v>
      </c>
      <c r="BB177">
        <v>0</v>
      </c>
      <c r="BF177">
        <v>0</v>
      </c>
      <c r="BJ177">
        <v>0</v>
      </c>
      <c r="BN177">
        <v>0</v>
      </c>
      <c r="BR177">
        <v>0</v>
      </c>
      <c r="BV177">
        <v>0</v>
      </c>
      <c r="BZ177">
        <v>0</v>
      </c>
      <c r="CD177">
        <v>0</v>
      </c>
      <c r="CH177">
        <v>0</v>
      </c>
      <c r="CL177">
        <v>0</v>
      </c>
    </row>
    <row r="178" spans="1:93" hidden="1" x14ac:dyDescent="0.25">
      <c r="A178" s="8" t="s">
        <v>15</v>
      </c>
      <c r="B178">
        <v>0</v>
      </c>
      <c r="F178">
        <v>0</v>
      </c>
      <c r="J178">
        <v>0</v>
      </c>
      <c r="N178">
        <v>0</v>
      </c>
      <c r="R178">
        <v>0</v>
      </c>
      <c r="V178">
        <v>0</v>
      </c>
      <c r="Z178">
        <v>0</v>
      </c>
      <c r="AD178">
        <v>0</v>
      </c>
      <c r="AH178">
        <v>0</v>
      </c>
      <c r="AL178">
        <v>0</v>
      </c>
      <c r="AP178">
        <v>0</v>
      </c>
      <c r="AT178">
        <v>0</v>
      </c>
      <c r="AX178">
        <v>0</v>
      </c>
      <c r="BB178">
        <v>0</v>
      </c>
      <c r="BF178">
        <v>0</v>
      </c>
      <c r="BJ178">
        <v>0</v>
      </c>
      <c r="BN178">
        <v>0</v>
      </c>
      <c r="BR178">
        <v>0</v>
      </c>
      <c r="BV178">
        <v>0</v>
      </c>
      <c r="BZ178">
        <v>0</v>
      </c>
      <c r="CD178">
        <v>0</v>
      </c>
      <c r="CH178">
        <v>0</v>
      </c>
      <c r="CL178">
        <v>0</v>
      </c>
    </row>
    <row r="180" spans="1:93" x14ac:dyDescent="0.25">
      <c r="AN180" s="2" t="s">
        <v>5</v>
      </c>
      <c r="AR180" s="2" t="s">
        <v>6</v>
      </c>
      <c r="AV180" s="2" t="s">
        <v>7</v>
      </c>
      <c r="AZ180" s="2" t="s">
        <v>8</v>
      </c>
      <c r="BD180" s="2" t="s">
        <v>5</v>
      </c>
      <c r="BH180" s="2" t="s">
        <v>6</v>
      </c>
      <c r="BL180" s="2" t="s">
        <v>7</v>
      </c>
      <c r="BP180" s="2" t="s">
        <v>5</v>
      </c>
      <c r="BT180" s="2" t="s">
        <v>6</v>
      </c>
      <c r="BX180" s="2" t="s">
        <v>7</v>
      </c>
      <c r="CB180" s="2" t="s">
        <v>5</v>
      </c>
      <c r="CF180" s="2" t="s">
        <v>6</v>
      </c>
      <c r="CJ180" s="2" t="s">
        <v>7</v>
      </c>
      <c r="CN180" s="2" t="s">
        <v>8</v>
      </c>
    </row>
    <row r="181" spans="1:93" s="3" customFormat="1" x14ac:dyDescent="0.25">
      <c r="A181" s="3" t="s">
        <v>1808</v>
      </c>
      <c r="D181" s="4" t="s">
        <v>10</v>
      </c>
      <c r="H181" s="4" t="s">
        <v>10</v>
      </c>
      <c r="L181" s="4" t="s">
        <v>10</v>
      </c>
      <c r="P181" s="4" t="s">
        <v>10</v>
      </c>
      <c r="T181" s="4" t="s">
        <v>10</v>
      </c>
      <c r="X181" s="4" t="s">
        <v>10</v>
      </c>
      <c r="AB181" s="4" t="s">
        <v>10</v>
      </c>
      <c r="AF181" s="4" t="s">
        <v>10</v>
      </c>
      <c r="AJ181" s="4" t="s">
        <v>10</v>
      </c>
      <c r="AN181" s="4" t="s">
        <v>10</v>
      </c>
      <c r="AR181" s="4" t="s">
        <v>10</v>
      </c>
      <c r="AV181" s="4" t="s">
        <v>10</v>
      </c>
      <c r="AZ181" s="4" t="s">
        <v>10</v>
      </c>
      <c r="BD181" s="4" t="s">
        <v>10</v>
      </c>
      <c r="BH181" s="4" t="s">
        <v>10</v>
      </c>
      <c r="BL181" s="4" t="s">
        <v>10</v>
      </c>
      <c r="BP181" s="4" t="s">
        <v>10</v>
      </c>
      <c r="BT181" s="4" t="s">
        <v>10</v>
      </c>
      <c r="BX181" s="4" t="s">
        <v>10</v>
      </c>
      <c r="CB181" s="4" t="s">
        <v>10</v>
      </c>
      <c r="CF181" s="4" t="s">
        <v>10</v>
      </c>
      <c r="CJ181" s="4" t="s">
        <v>10</v>
      </c>
      <c r="CN181" s="4" t="s">
        <v>10</v>
      </c>
    </row>
    <row r="182" spans="1:93" x14ac:dyDescent="0.25">
      <c r="A182" s="1" t="s">
        <v>576</v>
      </c>
      <c r="B182">
        <v>816</v>
      </c>
      <c r="C182" s="5">
        <f>B182/B185</f>
        <v>0.81599999999999995</v>
      </c>
      <c r="D182" s="5">
        <f>816/$D$3</f>
        <v>0.81599999999999995</v>
      </c>
      <c r="F182">
        <v>416</v>
      </c>
      <c r="G182" s="5">
        <f>F182/F185</f>
        <v>0.88135593220338981</v>
      </c>
      <c r="H182" s="10">
        <f>416/$H$3</f>
        <v>0.88135593220338981</v>
      </c>
      <c r="J182">
        <v>253</v>
      </c>
      <c r="K182" s="5">
        <f>J182/J185</f>
        <v>0.88771929824561402</v>
      </c>
      <c r="L182" s="10">
        <f>253/$L$3</f>
        <v>0.88771929824561402</v>
      </c>
      <c r="N182">
        <v>216</v>
      </c>
      <c r="O182" s="5">
        <f>N182/N185</f>
        <v>0.93103448275862066</v>
      </c>
      <c r="P182" s="10">
        <f>216/$P$3</f>
        <v>0.93103448275862066</v>
      </c>
      <c r="R182">
        <v>272</v>
      </c>
      <c r="S182" s="5">
        <f>R182/R185</f>
        <v>0.92517006802721091</v>
      </c>
      <c r="T182" s="10">
        <f>272/$T$3</f>
        <v>0.92517006802721091</v>
      </c>
      <c r="V182">
        <v>416</v>
      </c>
      <c r="W182" s="5">
        <f>V182/V185</f>
        <v>1</v>
      </c>
      <c r="X182" s="10">
        <f>416/$X$3</f>
        <v>1</v>
      </c>
      <c r="Z182">
        <v>383</v>
      </c>
      <c r="AA182" s="5">
        <f>Z182/Z185</f>
        <v>0.91190476190476188</v>
      </c>
      <c r="AB182" s="10">
        <f>383/$AB$3</f>
        <v>0.91190476190476188</v>
      </c>
      <c r="AD182">
        <v>378</v>
      </c>
      <c r="AE182" s="5">
        <f>AD182/AD185</f>
        <v>0.75600000000000001</v>
      </c>
      <c r="AF182" s="11">
        <f>378/$AF$3</f>
        <v>0.75600000000000001</v>
      </c>
      <c r="AH182">
        <v>438</v>
      </c>
      <c r="AI182" s="5">
        <f>AH182/AH185</f>
        <v>0.876</v>
      </c>
      <c r="AJ182" s="10">
        <f>438/$AJ$3</f>
        <v>0.876</v>
      </c>
      <c r="AL182">
        <v>129</v>
      </c>
      <c r="AM182" s="5">
        <f>AL182/AL185</f>
        <v>0.76331360946745563</v>
      </c>
      <c r="AN182" s="5">
        <f>129/$AN$3</f>
        <v>0.76331360946745563</v>
      </c>
      <c r="AP182">
        <v>252</v>
      </c>
      <c r="AQ182" s="5">
        <f>AP182/AP185</f>
        <v>0.81028938906752412</v>
      </c>
      <c r="AR182" s="5">
        <f>252/$AR$3</f>
        <v>0.81028938906752412</v>
      </c>
      <c r="AT182">
        <v>333</v>
      </c>
      <c r="AU182" s="5">
        <f>AT182/AT185</f>
        <v>0.85384615384615381</v>
      </c>
      <c r="AV182" s="5">
        <f>333/$AV$3</f>
        <v>0.85384615384615381</v>
      </c>
      <c r="AX182">
        <v>102</v>
      </c>
      <c r="AY182" s="5">
        <f>AX182/AX185</f>
        <v>0.7846153846153846</v>
      </c>
      <c r="AZ182" s="5">
        <f>102/$AZ$3</f>
        <v>0.7846153846153846</v>
      </c>
      <c r="BB182">
        <v>326</v>
      </c>
      <c r="BC182" s="5">
        <f>BB182/BB185</f>
        <v>0.80295566502463056</v>
      </c>
      <c r="BD182" s="5">
        <f>326/$BD$3</f>
        <v>0.80295566502463056</v>
      </c>
      <c r="BF182">
        <v>304</v>
      </c>
      <c r="BG182" s="5">
        <f>BF182/BF185</f>
        <v>0.81720430107526887</v>
      </c>
      <c r="BH182" s="5">
        <f>304/$BH$3</f>
        <v>0.81720430107526887</v>
      </c>
      <c r="BJ182">
        <v>186</v>
      </c>
      <c r="BK182" s="5">
        <f>BJ182/BJ185</f>
        <v>0.83783783783783783</v>
      </c>
      <c r="BL182" s="5">
        <f>186/$BL$3</f>
        <v>0.83783783783783783</v>
      </c>
      <c r="BN182">
        <v>305</v>
      </c>
      <c r="BO182" s="5">
        <f>BN182/BN185</f>
        <v>0.80263157894736847</v>
      </c>
      <c r="BP182" s="5">
        <f>305/$BP$3</f>
        <v>0.80263157894736847</v>
      </c>
      <c r="BR182">
        <v>312</v>
      </c>
      <c r="BS182" s="5">
        <f>BR182/BR185</f>
        <v>0.84324324324324329</v>
      </c>
      <c r="BT182" s="5">
        <f>312/$BT$3</f>
        <v>0.84324324324324329</v>
      </c>
      <c r="BV182">
        <v>199</v>
      </c>
      <c r="BW182" s="5">
        <f>BV182/BV185</f>
        <v>0.79600000000000004</v>
      </c>
      <c r="BX182" s="5">
        <f>199/$BX$3</f>
        <v>0.79600000000000004</v>
      </c>
      <c r="BZ182">
        <v>219</v>
      </c>
      <c r="CA182" s="5">
        <f>BZ182/BZ185</f>
        <v>0.876</v>
      </c>
      <c r="CB182" s="10">
        <f>219/$CB$3</f>
        <v>0.876</v>
      </c>
      <c r="CC182" s="12"/>
      <c r="CD182">
        <v>166</v>
      </c>
      <c r="CE182" s="5">
        <f>CD182/CD185</f>
        <v>0.79047619047619044</v>
      </c>
      <c r="CF182" s="5">
        <f>166/$CF$3</f>
        <v>0.79047619047619044</v>
      </c>
      <c r="CH182">
        <v>182</v>
      </c>
      <c r="CI182" s="5">
        <f>CH182/CH185</f>
        <v>0.82727272727272727</v>
      </c>
      <c r="CJ182" s="5">
        <f>182/$CJ$3</f>
        <v>0.82727272727272727</v>
      </c>
      <c r="CL182">
        <v>249</v>
      </c>
      <c r="CM182" s="5">
        <f>CL182/CL185</f>
        <v>0.77812499999999996</v>
      </c>
      <c r="CN182" s="5">
        <f>249/$CN$3</f>
        <v>0.77812499999999996</v>
      </c>
    </row>
    <row r="183" spans="1:93" x14ac:dyDescent="0.25">
      <c r="A183" s="1" t="s">
        <v>577</v>
      </c>
      <c r="B183">
        <v>184</v>
      </c>
      <c r="C183" s="5">
        <f>B183/B185</f>
        <v>0.184</v>
      </c>
      <c r="D183" s="5">
        <f>184/$D$3</f>
        <v>0.184</v>
      </c>
      <c r="F183">
        <v>56</v>
      </c>
      <c r="G183" s="5">
        <f>F183/F185</f>
        <v>0.11864406779661017</v>
      </c>
      <c r="H183" s="11">
        <f>56/$H$3</f>
        <v>0.11864406779661017</v>
      </c>
      <c r="J183">
        <v>32</v>
      </c>
      <c r="K183" s="5">
        <f>J183/J185</f>
        <v>0.11228070175438597</v>
      </c>
      <c r="L183" s="11">
        <f>32/$L$3</f>
        <v>0.11228070175438597</v>
      </c>
      <c r="N183">
        <v>16</v>
      </c>
      <c r="O183" s="5">
        <f>N183/N185</f>
        <v>6.8965517241379309E-2</v>
      </c>
      <c r="P183" s="11">
        <f>16/$P$3</f>
        <v>6.8965517241379309E-2</v>
      </c>
      <c r="R183">
        <v>22</v>
      </c>
      <c r="S183" s="5">
        <f>R183/R185</f>
        <v>7.4829931972789115E-2</v>
      </c>
      <c r="T183" s="11">
        <f>22/$T$3</f>
        <v>7.4829931972789115E-2</v>
      </c>
      <c r="V183">
        <v>0</v>
      </c>
      <c r="W183" s="5">
        <f>V183/V185</f>
        <v>0</v>
      </c>
      <c r="X183" s="11">
        <f>0/$X$3</f>
        <v>0</v>
      </c>
      <c r="Z183">
        <v>37</v>
      </c>
      <c r="AA183" s="5">
        <f>Z183/Z185</f>
        <v>8.8095238095238101E-2</v>
      </c>
      <c r="AB183" s="11">
        <f>37/$AB$3</f>
        <v>8.8095238095238101E-2</v>
      </c>
      <c r="AD183">
        <v>122</v>
      </c>
      <c r="AE183" s="5">
        <f>AD183/AD185</f>
        <v>0.24399999999999999</v>
      </c>
      <c r="AF183" s="10">
        <f>122/$AF$3</f>
        <v>0.24399999999999999</v>
      </c>
      <c r="AH183">
        <v>62</v>
      </c>
      <c r="AI183" s="5">
        <f>AH183/AH185</f>
        <v>0.124</v>
      </c>
      <c r="AJ183" s="11">
        <f>62/$AJ$3</f>
        <v>0.124</v>
      </c>
      <c r="AL183">
        <v>40</v>
      </c>
      <c r="AM183" s="5">
        <f>AL183/AL185</f>
        <v>0.23668639053254437</v>
      </c>
      <c r="AN183" s="5">
        <f>40/$AN$3</f>
        <v>0.23668639053254437</v>
      </c>
      <c r="AP183">
        <v>59</v>
      </c>
      <c r="AQ183" s="5">
        <f>AP183/AP185</f>
        <v>0.18971061093247588</v>
      </c>
      <c r="AR183" s="5">
        <f>59/$AR$3</f>
        <v>0.18971061093247588</v>
      </c>
      <c r="AT183">
        <v>57</v>
      </c>
      <c r="AU183" s="5">
        <f>AT183/AT185</f>
        <v>0.14615384615384616</v>
      </c>
      <c r="AV183" s="5">
        <f>57/$AV$3</f>
        <v>0.14615384615384616</v>
      </c>
      <c r="AX183">
        <v>28</v>
      </c>
      <c r="AY183" s="5">
        <f>AX183/AX185</f>
        <v>0.2153846153846154</v>
      </c>
      <c r="AZ183" s="5">
        <f>28/$AZ$3</f>
        <v>0.2153846153846154</v>
      </c>
      <c r="BB183">
        <v>80</v>
      </c>
      <c r="BC183" s="5">
        <f>BB183/BB185</f>
        <v>0.19704433497536947</v>
      </c>
      <c r="BD183" s="5">
        <f>80/$BD$3</f>
        <v>0.19704433497536947</v>
      </c>
      <c r="BF183">
        <v>68</v>
      </c>
      <c r="BG183" s="5">
        <f>BF183/BF185</f>
        <v>0.18279569892473119</v>
      </c>
      <c r="BH183" s="5">
        <f>68/$BH$3</f>
        <v>0.18279569892473119</v>
      </c>
      <c r="BJ183">
        <v>36</v>
      </c>
      <c r="BK183" s="5">
        <f>BJ183/BJ185</f>
        <v>0.16216216216216217</v>
      </c>
      <c r="BL183" s="5">
        <f>36/$BL$3</f>
        <v>0.16216216216216217</v>
      </c>
      <c r="BN183">
        <v>75</v>
      </c>
      <c r="BO183" s="5">
        <f>BN183/BN185</f>
        <v>0.19736842105263158</v>
      </c>
      <c r="BP183" s="5">
        <f>75/$BP$3</f>
        <v>0.19736842105263158</v>
      </c>
      <c r="BR183">
        <v>58</v>
      </c>
      <c r="BS183" s="5">
        <f>BR183/BR185</f>
        <v>0.15675675675675677</v>
      </c>
      <c r="BT183" s="5">
        <f>58/$BT$3</f>
        <v>0.15675675675675677</v>
      </c>
      <c r="BV183">
        <v>51</v>
      </c>
      <c r="BW183" s="5">
        <f>BV183/BV185</f>
        <v>0.20399999999999999</v>
      </c>
      <c r="BX183" s="5">
        <f>51/$BX$3</f>
        <v>0.20399999999999999</v>
      </c>
      <c r="BZ183">
        <v>31</v>
      </c>
      <c r="CA183" s="5">
        <f>BZ183/BZ185</f>
        <v>0.124</v>
      </c>
      <c r="CB183" s="11">
        <f>31/$CB$3</f>
        <v>0.124</v>
      </c>
      <c r="CD183">
        <v>44</v>
      </c>
      <c r="CE183" s="5">
        <f>CD183/CD185</f>
        <v>0.20952380952380953</v>
      </c>
      <c r="CF183" s="5">
        <f>44/$CF$3</f>
        <v>0.20952380952380953</v>
      </c>
      <c r="CH183">
        <v>38</v>
      </c>
      <c r="CI183" s="5">
        <f>CH183/CH185</f>
        <v>0.17272727272727273</v>
      </c>
      <c r="CJ183" s="5">
        <f>38/$CJ$3</f>
        <v>0.17272727272727273</v>
      </c>
      <c r="CL183">
        <v>71</v>
      </c>
      <c r="CM183" s="5">
        <f>CL183/CL185</f>
        <v>0.22187499999999999</v>
      </c>
      <c r="CN183" s="5">
        <f>71/$CN$3</f>
        <v>0.22187499999999999</v>
      </c>
      <c r="CO183" s="12"/>
    </row>
    <row r="184" spans="1:93" x14ac:dyDescent="0.25">
      <c r="A184" s="1" t="s">
        <v>12</v>
      </c>
      <c r="B184">
        <v>0</v>
      </c>
      <c r="C184" s="5">
        <f>B184/B185</f>
        <v>0</v>
      </c>
      <c r="D184" s="5">
        <f>0/$D$3</f>
        <v>0</v>
      </c>
      <c r="F184">
        <v>0</v>
      </c>
      <c r="G184" s="5">
        <f>F184/F185</f>
        <v>0</v>
      </c>
      <c r="H184" s="5">
        <f>0/$H$3</f>
        <v>0</v>
      </c>
      <c r="J184">
        <v>0</v>
      </c>
      <c r="K184" s="5">
        <f>J184/J185</f>
        <v>0</v>
      </c>
      <c r="L184" s="5">
        <f>0/$L$3</f>
        <v>0</v>
      </c>
      <c r="N184">
        <v>0</v>
      </c>
      <c r="O184" s="5">
        <f>N184/N185</f>
        <v>0</v>
      </c>
      <c r="P184" s="5">
        <f>0/$P$3</f>
        <v>0</v>
      </c>
      <c r="R184">
        <v>0</v>
      </c>
      <c r="S184" s="5">
        <f>R184/R185</f>
        <v>0</v>
      </c>
      <c r="T184" s="5">
        <f>0/$T$3</f>
        <v>0</v>
      </c>
      <c r="V184">
        <v>0</v>
      </c>
      <c r="W184" s="5">
        <f>V184/V185</f>
        <v>0</v>
      </c>
      <c r="X184" s="5">
        <f>0/$X$3</f>
        <v>0</v>
      </c>
      <c r="Z184">
        <v>0</v>
      </c>
      <c r="AA184" s="5">
        <f>Z184/Z185</f>
        <v>0</v>
      </c>
      <c r="AB184" s="5">
        <f>0/$AB$3</f>
        <v>0</v>
      </c>
      <c r="AD184">
        <v>0</v>
      </c>
      <c r="AE184" s="5">
        <f>AD184/AD185</f>
        <v>0</v>
      </c>
      <c r="AF184" s="5">
        <f>0/$AF$3</f>
        <v>0</v>
      </c>
      <c r="AH184">
        <v>0</v>
      </c>
      <c r="AI184" s="5">
        <f>AH184/AH185</f>
        <v>0</v>
      </c>
      <c r="AJ184" s="5">
        <f>0/$AJ$3</f>
        <v>0</v>
      </c>
      <c r="AL184">
        <v>0</v>
      </c>
      <c r="AM184" s="5">
        <f>AL184/AL185</f>
        <v>0</v>
      </c>
      <c r="AN184" s="5">
        <f>0/$AN$3</f>
        <v>0</v>
      </c>
      <c r="AP184">
        <v>0</v>
      </c>
      <c r="AQ184" s="5">
        <f>AP184/AP185</f>
        <v>0</v>
      </c>
      <c r="AR184" s="5">
        <f>0/$AR$3</f>
        <v>0</v>
      </c>
      <c r="AT184">
        <v>0</v>
      </c>
      <c r="AU184" s="5">
        <f>AT184/AT185</f>
        <v>0</v>
      </c>
      <c r="AV184" s="5">
        <f>0/$AV$3</f>
        <v>0</v>
      </c>
      <c r="AX184">
        <v>0</v>
      </c>
      <c r="AY184" s="5">
        <f>AX184/AX185</f>
        <v>0</v>
      </c>
      <c r="AZ184" s="5">
        <f>0/$AZ$3</f>
        <v>0</v>
      </c>
      <c r="BB184">
        <v>0</v>
      </c>
      <c r="BC184" s="5">
        <f>BB184/BB185</f>
        <v>0</v>
      </c>
      <c r="BD184" s="5">
        <f>0/$BD$3</f>
        <v>0</v>
      </c>
      <c r="BF184">
        <v>0</v>
      </c>
      <c r="BG184" s="5">
        <f>BF184/BF185</f>
        <v>0</v>
      </c>
      <c r="BH184" s="5">
        <f>0/$BH$3</f>
        <v>0</v>
      </c>
      <c r="BJ184">
        <v>0</v>
      </c>
      <c r="BK184" s="5">
        <f>BJ184/BJ185</f>
        <v>0</v>
      </c>
      <c r="BL184" s="5">
        <f>0/$BL$3</f>
        <v>0</v>
      </c>
      <c r="BN184">
        <v>0</v>
      </c>
      <c r="BO184" s="5">
        <f>BN184/BN185</f>
        <v>0</v>
      </c>
      <c r="BP184" s="5">
        <f>0/$BP$3</f>
        <v>0</v>
      </c>
      <c r="BR184">
        <v>0</v>
      </c>
      <c r="BS184" s="5">
        <f>BR184/BR185</f>
        <v>0</v>
      </c>
      <c r="BT184" s="5">
        <f>0/$BT$3</f>
        <v>0</v>
      </c>
      <c r="BV184">
        <v>0</v>
      </c>
      <c r="BW184" s="5">
        <f>BV184/BV185</f>
        <v>0</v>
      </c>
      <c r="BX184" s="5">
        <f>0/$BX$3</f>
        <v>0</v>
      </c>
      <c r="BZ184">
        <v>0</v>
      </c>
      <c r="CA184" s="5">
        <f>BZ184/BZ185</f>
        <v>0</v>
      </c>
      <c r="CB184" s="5">
        <f>0/$CB$3</f>
        <v>0</v>
      </c>
      <c r="CD184">
        <v>0</v>
      </c>
      <c r="CE184" s="5">
        <f>CD184/CD185</f>
        <v>0</v>
      </c>
      <c r="CF184" s="5">
        <f>0/$CF$3</f>
        <v>0</v>
      </c>
      <c r="CH184">
        <v>0</v>
      </c>
      <c r="CI184" s="5">
        <f>CH184/CH185</f>
        <v>0</v>
      </c>
      <c r="CJ184" s="5">
        <f>0/$CJ$3</f>
        <v>0</v>
      </c>
      <c r="CL184">
        <v>0</v>
      </c>
      <c r="CM184" s="5">
        <f>CL184/CL185</f>
        <v>0</v>
      </c>
      <c r="CN184" s="5">
        <f>0/$CN$3</f>
        <v>0</v>
      </c>
    </row>
    <row r="185" spans="1:93" s="6" customFormat="1" x14ac:dyDescent="0.25">
      <c r="A185" s="7" t="s">
        <v>13</v>
      </c>
      <c r="B185" s="6">
        <v>1000</v>
      </c>
      <c r="F185" s="6">
        <v>472</v>
      </c>
      <c r="J185" s="6">
        <v>285</v>
      </c>
      <c r="N185" s="6">
        <v>232</v>
      </c>
      <c r="R185" s="6">
        <v>294</v>
      </c>
      <c r="V185" s="6">
        <v>416</v>
      </c>
      <c r="Z185" s="6">
        <v>420</v>
      </c>
      <c r="AD185" s="6">
        <v>500</v>
      </c>
      <c r="AH185" s="6">
        <v>500</v>
      </c>
      <c r="AL185" s="6">
        <v>169</v>
      </c>
      <c r="AP185" s="6">
        <v>311</v>
      </c>
      <c r="AT185" s="6">
        <v>390</v>
      </c>
      <c r="AX185" s="6">
        <v>130</v>
      </c>
      <c r="BB185" s="6">
        <v>406</v>
      </c>
      <c r="BF185" s="6">
        <v>372</v>
      </c>
      <c r="BJ185" s="6">
        <v>222</v>
      </c>
      <c r="BN185" s="6">
        <v>380</v>
      </c>
      <c r="BR185" s="6">
        <v>370</v>
      </c>
      <c r="BV185" s="6">
        <v>250</v>
      </c>
      <c r="BZ185" s="6">
        <v>250</v>
      </c>
      <c r="CD185" s="6">
        <v>210</v>
      </c>
      <c r="CH185" s="6">
        <v>220</v>
      </c>
      <c r="CL185" s="6">
        <v>320</v>
      </c>
    </row>
    <row r="186" spans="1:93" hidden="1" x14ac:dyDescent="0.25">
      <c r="A186" s="8" t="s">
        <v>14</v>
      </c>
      <c r="B186">
        <v>0</v>
      </c>
      <c r="F186">
        <v>0</v>
      </c>
      <c r="J186">
        <v>0</v>
      </c>
      <c r="N186">
        <v>0</v>
      </c>
      <c r="R186">
        <v>0</v>
      </c>
      <c r="V186">
        <v>0</v>
      </c>
      <c r="Z186">
        <v>0</v>
      </c>
      <c r="AD186">
        <v>0</v>
      </c>
      <c r="AH186">
        <v>0</v>
      </c>
      <c r="AL186">
        <v>0</v>
      </c>
      <c r="AP186">
        <v>0</v>
      </c>
      <c r="AT186">
        <v>0</v>
      </c>
      <c r="AX186">
        <v>0</v>
      </c>
      <c r="BB186">
        <v>0</v>
      </c>
      <c r="BF186">
        <v>0</v>
      </c>
      <c r="BJ186">
        <v>0</v>
      </c>
      <c r="BN186">
        <v>0</v>
      </c>
      <c r="BR186">
        <v>0</v>
      </c>
      <c r="BV186">
        <v>0</v>
      </c>
      <c r="BZ186">
        <v>0</v>
      </c>
      <c r="CD186">
        <v>0</v>
      </c>
      <c r="CH186">
        <v>0</v>
      </c>
      <c r="CL186">
        <v>0</v>
      </c>
    </row>
    <row r="187" spans="1:93" hidden="1" x14ac:dyDescent="0.25">
      <c r="A187" s="8" t="s">
        <v>15</v>
      </c>
      <c r="B187">
        <v>0</v>
      </c>
      <c r="F187">
        <v>0</v>
      </c>
      <c r="J187">
        <v>0</v>
      </c>
      <c r="N187">
        <v>0</v>
      </c>
      <c r="R187">
        <v>0</v>
      </c>
      <c r="V187">
        <v>0</v>
      </c>
      <c r="Z187">
        <v>0</v>
      </c>
      <c r="AD187">
        <v>0</v>
      </c>
      <c r="AH187">
        <v>0</v>
      </c>
      <c r="AL187">
        <v>0</v>
      </c>
      <c r="AP187">
        <v>0</v>
      </c>
      <c r="AT187">
        <v>0</v>
      </c>
      <c r="AX187">
        <v>0</v>
      </c>
      <c r="BB187">
        <v>0</v>
      </c>
      <c r="BF187">
        <v>0</v>
      </c>
      <c r="BJ187">
        <v>0</v>
      </c>
      <c r="BN187">
        <v>0</v>
      </c>
      <c r="BR187">
        <v>0</v>
      </c>
      <c r="BV187">
        <v>0</v>
      </c>
      <c r="BZ187">
        <v>0</v>
      </c>
      <c r="CD187">
        <v>0</v>
      </c>
      <c r="CH187">
        <v>0</v>
      </c>
      <c r="CL187">
        <v>0</v>
      </c>
    </row>
    <row r="189" spans="1:93" x14ac:dyDescent="0.25">
      <c r="AN189" s="2" t="s">
        <v>5</v>
      </c>
      <c r="AR189" s="2" t="s">
        <v>6</v>
      </c>
      <c r="AV189" s="2" t="s">
        <v>7</v>
      </c>
      <c r="AZ189" s="2" t="s">
        <v>8</v>
      </c>
      <c r="BD189" s="2" t="s">
        <v>5</v>
      </c>
      <c r="BH189" s="2" t="s">
        <v>6</v>
      </c>
      <c r="BL189" s="2" t="s">
        <v>7</v>
      </c>
      <c r="BP189" s="2" t="s">
        <v>5</v>
      </c>
      <c r="BT189" s="2" t="s">
        <v>6</v>
      </c>
      <c r="BX189" s="2" t="s">
        <v>7</v>
      </c>
      <c r="CB189" s="2" t="s">
        <v>5</v>
      </c>
      <c r="CF189" s="2" t="s">
        <v>6</v>
      </c>
      <c r="CJ189" s="2" t="s">
        <v>7</v>
      </c>
      <c r="CN189" s="2" t="s">
        <v>8</v>
      </c>
    </row>
    <row r="190" spans="1:93" s="3" customFormat="1" x14ac:dyDescent="0.25">
      <c r="A190" s="3" t="s">
        <v>1809</v>
      </c>
      <c r="D190" s="4" t="s">
        <v>10</v>
      </c>
      <c r="H190" s="4" t="s">
        <v>10</v>
      </c>
      <c r="L190" s="4" t="s">
        <v>10</v>
      </c>
      <c r="P190" s="4" t="s">
        <v>10</v>
      </c>
      <c r="T190" s="4" t="s">
        <v>10</v>
      </c>
      <c r="X190" s="4" t="s">
        <v>10</v>
      </c>
      <c r="AB190" s="4" t="s">
        <v>10</v>
      </c>
      <c r="AF190" s="4" t="s">
        <v>10</v>
      </c>
      <c r="AJ190" s="4" t="s">
        <v>10</v>
      </c>
      <c r="AN190" s="4" t="s">
        <v>10</v>
      </c>
      <c r="AR190" s="4" t="s">
        <v>10</v>
      </c>
      <c r="AV190" s="4" t="s">
        <v>10</v>
      </c>
      <c r="AZ190" s="4" t="s">
        <v>10</v>
      </c>
      <c r="BD190" s="4" t="s">
        <v>10</v>
      </c>
      <c r="BH190" s="4" t="s">
        <v>10</v>
      </c>
      <c r="BL190" s="4" t="s">
        <v>10</v>
      </c>
      <c r="BP190" s="4" t="s">
        <v>10</v>
      </c>
      <c r="BT190" s="4" t="s">
        <v>10</v>
      </c>
      <c r="BX190" s="4" t="s">
        <v>10</v>
      </c>
      <c r="CB190" s="4" t="s">
        <v>10</v>
      </c>
      <c r="CF190" s="4" t="s">
        <v>10</v>
      </c>
      <c r="CJ190" s="4" t="s">
        <v>10</v>
      </c>
      <c r="CN190" s="4" t="s">
        <v>10</v>
      </c>
    </row>
    <row r="191" spans="1:93" x14ac:dyDescent="0.25">
      <c r="A191" s="1" t="s">
        <v>1810</v>
      </c>
      <c r="B191">
        <v>1000</v>
      </c>
      <c r="C191" s="5">
        <f>B191/B193</f>
        <v>1</v>
      </c>
      <c r="D191" s="5">
        <f>1000/$D$3</f>
        <v>1</v>
      </c>
      <c r="F191">
        <v>472</v>
      </c>
      <c r="G191" s="5">
        <f>F191/F193</f>
        <v>1</v>
      </c>
      <c r="H191" s="5">
        <f>472/$H$3</f>
        <v>1</v>
      </c>
      <c r="J191">
        <v>285</v>
      </c>
      <c r="K191" s="5">
        <f>J191/J193</f>
        <v>1</v>
      </c>
      <c r="L191" s="5">
        <f>285/$L$3</f>
        <v>1</v>
      </c>
      <c r="N191">
        <v>232</v>
      </c>
      <c r="O191" s="5">
        <f>N191/N193</f>
        <v>1</v>
      </c>
      <c r="P191" s="5">
        <f>232/$P$3</f>
        <v>1</v>
      </c>
      <c r="R191">
        <v>294</v>
      </c>
      <c r="S191" s="5">
        <f>R191/R193</f>
        <v>1</v>
      </c>
      <c r="T191" s="5">
        <f>294/$T$3</f>
        <v>1</v>
      </c>
      <c r="V191">
        <v>416</v>
      </c>
      <c r="W191" s="5">
        <f>V191/V193</f>
        <v>1</v>
      </c>
      <c r="X191" s="5">
        <f>416/$X$3</f>
        <v>1</v>
      </c>
      <c r="Z191">
        <v>420</v>
      </c>
      <c r="AA191" s="5">
        <f>Z191/Z193</f>
        <v>1</v>
      </c>
      <c r="AB191" s="5">
        <f>420/$AB$3</f>
        <v>1</v>
      </c>
      <c r="AD191">
        <v>500</v>
      </c>
      <c r="AE191" s="5">
        <f>AD191/AD193</f>
        <v>1</v>
      </c>
      <c r="AF191" s="5">
        <f>500/$AF$3</f>
        <v>1</v>
      </c>
      <c r="AH191">
        <v>500</v>
      </c>
      <c r="AI191" s="5">
        <f>AH191/AH193</f>
        <v>1</v>
      </c>
      <c r="AJ191" s="5">
        <f>500/$AJ$3</f>
        <v>1</v>
      </c>
      <c r="AL191">
        <v>169</v>
      </c>
      <c r="AM191" s="5">
        <f>AL191/AL193</f>
        <v>1</v>
      </c>
      <c r="AN191" s="5">
        <f>169/$AN$3</f>
        <v>1</v>
      </c>
      <c r="AP191">
        <v>311</v>
      </c>
      <c r="AQ191" s="5">
        <f>AP191/AP193</f>
        <v>1</v>
      </c>
      <c r="AR191" s="5">
        <f>311/$AR$3</f>
        <v>1</v>
      </c>
      <c r="AT191">
        <v>390</v>
      </c>
      <c r="AU191" s="5">
        <f>AT191/AT193</f>
        <v>1</v>
      </c>
      <c r="AV191" s="5">
        <f>390/$AV$3</f>
        <v>1</v>
      </c>
      <c r="AX191">
        <v>130</v>
      </c>
      <c r="AY191" s="5">
        <f>AX191/AX193</f>
        <v>1</v>
      </c>
      <c r="AZ191" s="5">
        <f>130/$AZ$3</f>
        <v>1</v>
      </c>
      <c r="BB191">
        <v>406</v>
      </c>
      <c r="BC191" s="5">
        <f>BB191/BB193</f>
        <v>1</v>
      </c>
      <c r="BD191" s="5">
        <f>406/$BD$3</f>
        <v>1</v>
      </c>
      <c r="BF191">
        <v>372</v>
      </c>
      <c r="BG191" s="5">
        <f>BF191/BF193</f>
        <v>1</v>
      </c>
      <c r="BH191" s="5">
        <f>372/$BH$3</f>
        <v>1</v>
      </c>
      <c r="BJ191">
        <v>222</v>
      </c>
      <c r="BK191" s="5">
        <f>BJ191/BJ193</f>
        <v>1</v>
      </c>
      <c r="BL191" s="5">
        <f>222/$BL$3</f>
        <v>1</v>
      </c>
      <c r="BN191">
        <v>380</v>
      </c>
      <c r="BO191" s="5">
        <f>BN191/BN193</f>
        <v>1</v>
      </c>
      <c r="BP191" s="5">
        <f>380/$BP$3</f>
        <v>1</v>
      </c>
      <c r="BR191">
        <v>370</v>
      </c>
      <c r="BS191" s="5">
        <f>BR191/BR193</f>
        <v>1</v>
      </c>
      <c r="BT191" s="5">
        <f>370/$BT$3</f>
        <v>1</v>
      </c>
      <c r="BV191">
        <v>250</v>
      </c>
      <c r="BW191" s="5">
        <f>BV191/BV193</f>
        <v>1</v>
      </c>
      <c r="BX191" s="5">
        <f>250/$BX$3</f>
        <v>1</v>
      </c>
      <c r="BZ191">
        <v>250</v>
      </c>
      <c r="CA191" s="5">
        <f>BZ191/BZ193</f>
        <v>1</v>
      </c>
      <c r="CB191" s="5">
        <f>250/$CB$3</f>
        <v>1</v>
      </c>
      <c r="CD191">
        <v>210</v>
      </c>
      <c r="CE191" s="5">
        <f>CD191/CD193</f>
        <v>1</v>
      </c>
      <c r="CF191" s="5">
        <f>210/$CF$3</f>
        <v>1</v>
      </c>
      <c r="CH191">
        <v>220</v>
      </c>
      <c r="CI191" s="5">
        <f>CH191/CH193</f>
        <v>1</v>
      </c>
      <c r="CJ191" s="5">
        <f>220/$CJ$3</f>
        <v>1</v>
      </c>
      <c r="CL191">
        <v>320</v>
      </c>
      <c r="CM191" s="5">
        <f>CL191/CL193</f>
        <v>1</v>
      </c>
      <c r="CN191" s="5">
        <f>320/$CN$3</f>
        <v>1</v>
      </c>
    </row>
    <row r="192" spans="1:93" x14ac:dyDescent="0.25">
      <c r="A192" s="1" t="s">
        <v>12</v>
      </c>
      <c r="B192">
        <v>0</v>
      </c>
      <c r="C192" s="5">
        <f>B192/B193</f>
        <v>0</v>
      </c>
      <c r="D192" s="5">
        <f>0/$D$3</f>
        <v>0</v>
      </c>
      <c r="F192">
        <v>0</v>
      </c>
      <c r="G192" s="5">
        <f>F192/F193</f>
        <v>0</v>
      </c>
      <c r="H192" s="5">
        <f>0/$H$3</f>
        <v>0</v>
      </c>
      <c r="J192">
        <v>0</v>
      </c>
      <c r="K192" s="5">
        <f>J192/J193</f>
        <v>0</v>
      </c>
      <c r="L192" s="5">
        <f>0/$L$3</f>
        <v>0</v>
      </c>
      <c r="N192">
        <v>0</v>
      </c>
      <c r="O192" s="5">
        <f>N192/N193</f>
        <v>0</v>
      </c>
      <c r="P192" s="5">
        <f>0/$P$3</f>
        <v>0</v>
      </c>
      <c r="R192">
        <v>0</v>
      </c>
      <c r="S192" s="5">
        <f>R192/R193</f>
        <v>0</v>
      </c>
      <c r="T192" s="5">
        <f>0/$T$3</f>
        <v>0</v>
      </c>
      <c r="V192">
        <v>0</v>
      </c>
      <c r="W192" s="5">
        <f>V192/V193</f>
        <v>0</v>
      </c>
      <c r="X192" s="5">
        <f>0/$X$3</f>
        <v>0</v>
      </c>
      <c r="Z192">
        <v>0</v>
      </c>
      <c r="AA192" s="5">
        <f>Z192/Z193</f>
        <v>0</v>
      </c>
      <c r="AB192" s="5">
        <f>0/$AB$3</f>
        <v>0</v>
      </c>
      <c r="AD192">
        <v>0</v>
      </c>
      <c r="AE192" s="5">
        <f>AD192/AD193</f>
        <v>0</v>
      </c>
      <c r="AF192" s="5">
        <f>0/$AF$3</f>
        <v>0</v>
      </c>
      <c r="AH192">
        <v>0</v>
      </c>
      <c r="AI192" s="5">
        <f>AH192/AH193</f>
        <v>0</v>
      </c>
      <c r="AJ192" s="5">
        <f>0/$AJ$3</f>
        <v>0</v>
      </c>
      <c r="AL192">
        <v>0</v>
      </c>
      <c r="AM192" s="5">
        <f>AL192/AL193</f>
        <v>0</v>
      </c>
      <c r="AN192" s="5">
        <f>0/$AN$3</f>
        <v>0</v>
      </c>
      <c r="AP192">
        <v>0</v>
      </c>
      <c r="AQ192" s="5">
        <f>AP192/AP193</f>
        <v>0</v>
      </c>
      <c r="AR192" s="5">
        <f>0/$AR$3</f>
        <v>0</v>
      </c>
      <c r="AT192">
        <v>0</v>
      </c>
      <c r="AU192" s="5">
        <f>AT192/AT193</f>
        <v>0</v>
      </c>
      <c r="AV192" s="5">
        <f>0/$AV$3</f>
        <v>0</v>
      </c>
      <c r="AX192">
        <v>0</v>
      </c>
      <c r="AY192" s="5">
        <f>AX192/AX193</f>
        <v>0</v>
      </c>
      <c r="AZ192" s="5">
        <f>0/$AZ$3</f>
        <v>0</v>
      </c>
      <c r="BB192">
        <v>0</v>
      </c>
      <c r="BC192" s="5">
        <f>BB192/BB193</f>
        <v>0</v>
      </c>
      <c r="BD192" s="5">
        <f>0/$BD$3</f>
        <v>0</v>
      </c>
      <c r="BF192">
        <v>0</v>
      </c>
      <c r="BG192" s="5">
        <f>BF192/BF193</f>
        <v>0</v>
      </c>
      <c r="BH192" s="5">
        <f>0/$BH$3</f>
        <v>0</v>
      </c>
      <c r="BJ192">
        <v>0</v>
      </c>
      <c r="BK192" s="5">
        <f>BJ192/BJ193</f>
        <v>0</v>
      </c>
      <c r="BL192" s="5">
        <f>0/$BL$3</f>
        <v>0</v>
      </c>
      <c r="BN192">
        <v>0</v>
      </c>
      <c r="BO192" s="5">
        <f>BN192/BN193</f>
        <v>0</v>
      </c>
      <c r="BP192" s="5">
        <f>0/$BP$3</f>
        <v>0</v>
      </c>
      <c r="BR192">
        <v>0</v>
      </c>
      <c r="BS192" s="5">
        <f>BR192/BR193</f>
        <v>0</v>
      </c>
      <c r="BT192" s="5">
        <f>0/$BT$3</f>
        <v>0</v>
      </c>
      <c r="BV192">
        <v>0</v>
      </c>
      <c r="BW192" s="5">
        <f>BV192/BV193</f>
        <v>0</v>
      </c>
      <c r="BX192" s="5">
        <f>0/$BX$3</f>
        <v>0</v>
      </c>
      <c r="BZ192">
        <v>0</v>
      </c>
      <c r="CA192" s="5">
        <f>BZ192/BZ193</f>
        <v>0</v>
      </c>
      <c r="CB192" s="5">
        <f>0/$CB$3</f>
        <v>0</v>
      </c>
      <c r="CD192">
        <v>0</v>
      </c>
      <c r="CE192" s="5">
        <f>CD192/CD193</f>
        <v>0</v>
      </c>
      <c r="CF192" s="5">
        <f>0/$CF$3</f>
        <v>0</v>
      </c>
      <c r="CH192">
        <v>0</v>
      </c>
      <c r="CI192" s="5">
        <f>CH192/CH193</f>
        <v>0</v>
      </c>
      <c r="CJ192" s="5">
        <f>0/$CJ$3</f>
        <v>0</v>
      </c>
      <c r="CL192">
        <v>0</v>
      </c>
      <c r="CM192" s="5">
        <f>CL192/CL193</f>
        <v>0</v>
      </c>
      <c r="CN192" s="5">
        <f>0/$CN$3</f>
        <v>0</v>
      </c>
    </row>
    <row r="193" spans="1:92" s="6" customFormat="1" x14ac:dyDescent="0.25">
      <c r="A193" s="7" t="s">
        <v>13</v>
      </c>
      <c r="B193" s="6">
        <v>1000</v>
      </c>
      <c r="F193" s="6">
        <v>472</v>
      </c>
      <c r="J193" s="6">
        <v>285</v>
      </c>
      <c r="N193" s="6">
        <v>232</v>
      </c>
      <c r="R193" s="6">
        <v>294</v>
      </c>
      <c r="V193" s="6">
        <v>416</v>
      </c>
      <c r="Z193" s="6">
        <v>420</v>
      </c>
      <c r="AD193" s="6">
        <v>500</v>
      </c>
      <c r="AH193" s="6">
        <v>500</v>
      </c>
      <c r="AL193" s="6">
        <v>169</v>
      </c>
      <c r="AP193" s="6">
        <v>311</v>
      </c>
      <c r="AT193" s="6">
        <v>390</v>
      </c>
      <c r="AX193" s="6">
        <v>130</v>
      </c>
      <c r="BB193" s="6">
        <v>406</v>
      </c>
      <c r="BF193" s="6">
        <v>372</v>
      </c>
      <c r="BJ193" s="6">
        <v>222</v>
      </c>
      <c r="BN193" s="6">
        <v>380</v>
      </c>
      <c r="BR193" s="6">
        <v>370</v>
      </c>
      <c r="BV193" s="6">
        <v>250</v>
      </c>
      <c r="BZ193" s="6">
        <v>250</v>
      </c>
      <c r="CD193" s="6">
        <v>210</v>
      </c>
      <c r="CH193" s="6">
        <v>220</v>
      </c>
      <c r="CL193" s="6">
        <v>320</v>
      </c>
    </row>
    <row r="194" spans="1:92" hidden="1" x14ac:dyDescent="0.25">
      <c r="A194" s="8" t="s">
        <v>14</v>
      </c>
      <c r="B194">
        <v>0</v>
      </c>
      <c r="F194">
        <v>0</v>
      </c>
      <c r="J194">
        <v>0</v>
      </c>
      <c r="N194">
        <v>0</v>
      </c>
      <c r="R194">
        <v>0</v>
      </c>
      <c r="V194">
        <v>0</v>
      </c>
      <c r="Z194">
        <v>0</v>
      </c>
      <c r="AD194">
        <v>0</v>
      </c>
      <c r="AH194">
        <v>0</v>
      </c>
      <c r="AL194">
        <v>0</v>
      </c>
      <c r="AP194">
        <v>0</v>
      </c>
      <c r="AT194">
        <v>0</v>
      </c>
      <c r="AX194">
        <v>0</v>
      </c>
      <c r="BB194">
        <v>0</v>
      </c>
      <c r="BF194">
        <v>0</v>
      </c>
      <c r="BJ194">
        <v>0</v>
      </c>
      <c r="BN194">
        <v>0</v>
      </c>
      <c r="BR194">
        <v>0</v>
      </c>
      <c r="BV194">
        <v>0</v>
      </c>
      <c r="BZ194">
        <v>0</v>
      </c>
      <c r="CD194">
        <v>0</v>
      </c>
      <c r="CH194">
        <v>0</v>
      </c>
      <c r="CL194">
        <v>0</v>
      </c>
    </row>
    <row r="195" spans="1:92" hidden="1" x14ac:dyDescent="0.25">
      <c r="A195" s="8" t="s">
        <v>15</v>
      </c>
      <c r="B195">
        <v>0</v>
      </c>
      <c r="F195">
        <v>0</v>
      </c>
      <c r="J195">
        <v>0</v>
      </c>
      <c r="N195">
        <v>0</v>
      </c>
      <c r="R195">
        <v>0</v>
      </c>
      <c r="V195">
        <v>0</v>
      </c>
      <c r="Z195">
        <v>0</v>
      </c>
      <c r="AD195">
        <v>0</v>
      </c>
      <c r="AH195">
        <v>0</v>
      </c>
      <c r="AL195">
        <v>0</v>
      </c>
      <c r="AP195">
        <v>0</v>
      </c>
      <c r="AT195">
        <v>0</v>
      </c>
      <c r="AX195">
        <v>0</v>
      </c>
      <c r="BB195">
        <v>0</v>
      </c>
      <c r="BF195">
        <v>0</v>
      </c>
      <c r="BJ195">
        <v>0</v>
      </c>
      <c r="BN195">
        <v>0</v>
      </c>
      <c r="BR195">
        <v>0</v>
      </c>
      <c r="BV195">
        <v>0</v>
      </c>
      <c r="BZ195">
        <v>0</v>
      </c>
      <c r="CD195">
        <v>0</v>
      </c>
      <c r="CH195">
        <v>0</v>
      </c>
      <c r="CL195">
        <v>0</v>
      </c>
    </row>
    <row r="197" spans="1:92" x14ac:dyDescent="0.25">
      <c r="AN197" s="2" t="s">
        <v>5</v>
      </c>
      <c r="AR197" s="2" t="s">
        <v>6</v>
      </c>
      <c r="AV197" s="2" t="s">
        <v>7</v>
      </c>
      <c r="AZ197" s="2" t="s">
        <v>8</v>
      </c>
      <c r="BD197" s="2" t="s">
        <v>5</v>
      </c>
      <c r="BH197" s="2" t="s">
        <v>6</v>
      </c>
      <c r="BL197" s="2" t="s">
        <v>7</v>
      </c>
      <c r="BP197" s="2" t="s">
        <v>5</v>
      </c>
      <c r="BT197" s="2" t="s">
        <v>6</v>
      </c>
      <c r="BX197" s="2" t="s">
        <v>7</v>
      </c>
      <c r="CB197" s="2" t="s">
        <v>5</v>
      </c>
      <c r="CF197" s="2" t="s">
        <v>6</v>
      </c>
      <c r="CJ197" s="2" t="s">
        <v>7</v>
      </c>
      <c r="CN197" s="2" t="s">
        <v>8</v>
      </c>
    </row>
    <row r="198" spans="1:92" s="3" customFormat="1" x14ac:dyDescent="0.25">
      <c r="A198" s="9" t="str">
        <f>HYPERLINK("#slogan_emo!A1","Jaký máte pocit z tohoto sloganu?&lt;br&gt;&lt;br&gt;
**„To koukáte.“**")</f>
        <v>Jaký máte pocit z tohoto sloganu?&lt;br&gt;&lt;br&gt;
**„To koukáte.“**</v>
      </c>
      <c r="D198" s="4" t="s">
        <v>10</v>
      </c>
      <c r="H198" s="4" t="s">
        <v>10</v>
      </c>
      <c r="L198" s="4" t="s">
        <v>10</v>
      </c>
      <c r="P198" s="4" t="s">
        <v>10</v>
      </c>
      <c r="T198" s="4" t="s">
        <v>10</v>
      </c>
      <c r="X198" s="4" t="s">
        <v>10</v>
      </c>
      <c r="AB198" s="4" t="s">
        <v>10</v>
      </c>
      <c r="AF198" s="4" t="s">
        <v>10</v>
      </c>
      <c r="AJ198" s="4" t="s">
        <v>10</v>
      </c>
      <c r="AN198" s="4" t="s">
        <v>10</v>
      </c>
      <c r="AR198" s="4" t="s">
        <v>10</v>
      </c>
      <c r="AV198" s="4" t="s">
        <v>10</v>
      </c>
      <c r="AZ198" s="4" t="s">
        <v>10</v>
      </c>
      <c r="BD198" s="4" t="s">
        <v>10</v>
      </c>
      <c r="BH198" s="4" t="s">
        <v>10</v>
      </c>
      <c r="BL198" s="4" t="s">
        <v>10</v>
      </c>
      <c r="BP198" s="4" t="s">
        <v>10</v>
      </c>
      <c r="BT198" s="4" t="s">
        <v>10</v>
      </c>
      <c r="BX198" s="4" t="s">
        <v>10</v>
      </c>
      <c r="CB198" s="4" t="s">
        <v>10</v>
      </c>
      <c r="CF198" s="4" t="s">
        <v>10</v>
      </c>
      <c r="CJ198" s="4" t="s">
        <v>10</v>
      </c>
      <c r="CN198" s="4" t="s">
        <v>10</v>
      </c>
    </row>
    <row r="199" spans="1:92" x14ac:dyDescent="0.25">
      <c r="A199" s="1" t="s">
        <v>221</v>
      </c>
      <c r="B199">
        <v>36</v>
      </c>
      <c r="C199" s="5">
        <f>B199/B205</f>
        <v>3.5999999999999997E-2</v>
      </c>
      <c r="D199" s="5">
        <f>36/$D$3</f>
        <v>3.5999999999999997E-2</v>
      </c>
      <c r="F199">
        <v>17</v>
      </c>
      <c r="G199" s="5">
        <f>F199/F205</f>
        <v>3.6016949152542374E-2</v>
      </c>
      <c r="H199" s="5">
        <f>17/$H$3</f>
        <v>3.6016949152542374E-2</v>
      </c>
      <c r="J199">
        <v>10</v>
      </c>
      <c r="K199" s="5">
        <f>J199/J205</f>
        <v>3.5087719298245612E-2</v>
      </c>
      <c r="L199" s="5">
        <f>10/$L$3</f>
        <v>3.5087719298245612E-2</v>
      </c>
      <c r="N199">
        <v>11</v>
      </c>
      <c r="O199" s="5">
        <f>N199/N205</f>
        <v>4.7413793103448273E-2</v>
      </c>
      <c r="P199" s="5">
        <f>11/$P$3</f>
        <v>4.7413793103448273E-2</v>
      </c>
      <c r="R199">
        <v>8</v>
      </c>
      <c r="S199" s="5">
        <f>R199/R205</f>
        <v>2.7210884353741496E-2</v>
      </c>
      <c r="T199" s="5">
        <f>8/$T$3</f>
        <v>2.7210884353741496E-2</v>
      </c>
      <c r="V199">
        <v>17</v>
      </c>
      <c r="W199" s="5">
        <f>V199/V205</f>
        <v>4.0865384615384616E-2</v>
      </c>
      <c r="X199" s="5">
        <f>17/$X$3</f>
        <v>4.0865384615384616E-2</v>
      </c>
      <c r="Z199">
        <v>15</v>
      </c>
      <c r="AA199" s="5">
        <f>Z199/Z205</f>
        <v>3.5714285714285712E-2</v>
      </c>
      <c r="AB199" s="5">
        <f>15/$AB$3</f>
        <v>3.5714285714285712E-2</v>
      </c>
      <c r="AD199">
        <v>16</v>
      </c>
      <c r="AE199" s="5">
        <f>AD199/AD205</f>
        <v>3.2000000000000001E-2</v>
      </c>
      <c r="AF199" s="5">
        <f>16/$AF$3</f>
        <v>3.2000000000000001E-2</v>
      </c>
      <c r="AH199">
        <v>20</v>
      </c>
      <c r="AI199" s="5">
        <f>AH199/AH205</f>
        <v>0.04</v>
      </c>
      <c r="AJ199" s="5">
        <f>20/$AJ$3</f>
        <v>0.04</v>
      </c>
      <c r="AL199">
        <v>9</v>
      </c>
      <c r="AM199" s="5">
        <f>AL199/AL205</f>
        <v>5.3254437869822487E-2</v>
      </c>
      <c r="AN199" s="5">
        <f>9/$AN$3</f>
        <v>5.3254437869822487E-2</v>
      </c>
      <c r="AP199">
        <v>10</v>
      </c>
      <c r="AQ199" s="5">
        <f>AP199/AP205</f>
        <v>3.215434083601286E-2</v>
      </c>
      <c r="AR199" s="5">
        <f>10/$AR$3</f>
        <v>3.215434083601286E-2</v>
      </c>
      <c r="AT199">
        <v>12</v>
      </c>
      <c r="AU199" s="5">
        <f>AT199/AT205</f>
        <v>3.0769230769230771E-2</v>
      </c>
      <c r="AV199" s="5">
        <f>12/$AV$3</f>
        <v>3.0769230769230771E-2</v>
      </c>
      <c r="AX199">
        <v>5</v>
      </c>
      <c r="AY199" s="5">
        <f>AX199/AX205</f>
        <v>3.8461538461538464E-2</v>
      </c>
      <c r="AZ199" s="5">
        <f>5/$AZ$3</f>
        <v>3.8461538461538464E-2</v>
      </c>
      <c r="BB199">
        <v>22</v>
      </c>
      <c r="BC199" s="5">
        <f>BB199/BB205</f>
        <v>5.4187192118226604E-2</v>
      </c>
      <c r="BD199" s="5">
        <f>22/$BD$3</f>
        <v>5.4187192118226604E-2</v>
      </c>
      <c r="BF199">
        <v>10</v>
      </c>
      <c r="BG199" s="5">
        <f>BF199/BF205</f>
        <v>2.6881720430107527E-2</v>
      </c>
      <c r="BH199" s="5">
        <f>10/$BH$3</f>
        <v>2.6881720430107527E-2</v>
      </c>
      <c r="BJ199">
        <v>4</v>
      </c>
      <c r="BK199" s="5">
        <f>BJ199/BJ205</f>
        <v>1.8018018018018018E-2</v>
      </c>
      <c r="BL199" s="5">
        <f>4/$BL$3</f>
        <v>1.8018018018018018E-2</v>
      </c>
      <c r="BN199">
        <v>14</v>
      </c>
      <c r="BO199" s="5">
        <f>BN199/BN205</f>
        <v>3.6842105263157891E-2</v>
      </c>
      <c r="BP199" s="5">
        <f>14/$BP$3</f>
        <v>3.6842105263157891E-2</v>
      </c>
      <c r="BR199">
        <v>17</v>
      </c>
      <c r="BS199" s="5">
        <f>BR199/BR205</f>
        <v>4.5945945945945948E-2</v>
      </c>
      <c r="BT199" s="5">
        <f>17/$BT$3</f>
        <v>4.5945945945945948E-2</v>
      </c>
      <c r="BV199">
        <v>5</v>
      </c>
      <c r="BW199" s="5">
        <f>BV199/BV205</f>
        <v>0.02</v>
      </c>
      <c r="BX199" s="5">
        <f>5/$BX$3</f>
        <v>0.02</v>
      </c>
      <c r="BZ199">
        <v>11</v>
      </c>
      <c r="CA199" s="5">
        <f>BZ199/BZ205</f>
        <v>4.3999999999999997E-2</v>
      </c>
      <c r="CB199" s="5">
        <f>11/$CB$3</f>
        <v>4.3999999999999997E-2</v>
      </c>
      <c r="CD199">
        <v>10</v>
      </c>
      <c r="CE199" s="5">
        <f>CD199/CD205</f>
        <v>4.7619047619047616E-2</v>
      </c>
      <c r="CF199" s="5">
        <f>10/$CF$3</f>
        <v>4.7619047619047616E-2</v>
      </c>
      <c r="CH199">
        <v>6</v>
      </c>
      <c r="CI199" s="5">
        <f>CH199/CH205</f>
        <v>2.7272727272727271E-2</v>
      </c>
      <c r="CJ199" s="5">
        <f>6/$CJ$3</f>
        <v>2.7272727272727271E-2</v>
      </c>
      <c r="CL199">
        <v>9</v>
      </c>
      <c r="CM199" s="5">
        <f>CL199/CL205</f>
        <v>2.8125000000000001E-2</v>
      </c>
      <c r="CN199" s="5">
        <f>9/$CN$3</f>
        <v>2.8125000000000001E-2</v>
      </c>
    </row>
    <row r="200" spans="1:92" x14ac:dyDescent="0.25">
      <c r="A200" s="1" t="s">
        <v>201</v>
      </c>
      <c r="B200">
        <v>309</v>
      </c>
      <c r="C200" s="5">
        <f>B200/B205</f>
        <v>0.309</v>
      </c>
      <c r="D200" s="5">
        <f>309/$D$3</f>
        <v>0.309</v>
      </c>
      <c r="F200">
        <v>147</v>
      </c>
      <c r="G200" s="5">
        <f>F200/F205</f>
        <v>0.3114406779661017</v>
      </c>
      <c r="H200" s="5">
        <f>147/$H$3</f>
        <v>0.3114406779661017</v>
      </c>
      <c r="J200">
        <v>101</v>
      </c>
      <c r="K200" s="5">
        <f>J200/J205</f>
        <v>0.35438596491228069</v>
      </c>
      <c r="L200" s="5">
        <f>101/$L$3</f>
        <v>0.35438596491228069</v>
      </c>
      <c r="N200">
        <v>88</v>
      </c>
      <c r="O200" s="5">
        <f>N200/N205</f>
        <v>0.37931034482758619</v>
      </c>
      <c r="P200" s="10">
        <f>88/$P$3</f>
        <v>0.37931034482758619</v>
      </c>
      <c r="R200">
        <v>108</v>
      </c>
      <c r="S200" s="5">
        <f>R200/R205</f>
        <v>0.36734693877551022</v>
      </c>
      <c r="T200" s="10">
        <f>108/$T$3</f>
        <v>0.36734693877551022</v>
      </c>
      <c r="V200">
        <v>140</v>
      </c>
      <c r="W200" s="5">
        <f>V200/V205</f>
        <v>0.33653846153846156</v>
      </c>
      <c r="X200" s="5">
        <f>140/$X$3</f>
        <v>0.33653846153846156</v>
      </c>
      <c r="Z200">
        <v>135</v>
      </c>
      <c r="AA200" s="5">
        <f>Z200/Z205</f>
        <v>0.32142857142857145</v>
      </c>
      <c r="AB200" s="5">
        <f>135/$AB$3</f>
        <v>0.32142857142857145</v>
      </c>
      <c r="AD200">
        <v>135</v>
      </c>
      <c r="AE200" s="5">
        <f>AD200/AD205</f>
        <v>0.27</v>
      </c>
      <c r="AF200" s="5">
        <f>135/$AF$3</f>
        <v>0.27</v>
      </c>
      <c r="AH200">
        <v>174</v>
      </c>
      <c r="AI200" s="5">
        <f>AH200/AH205</f>
        <v>0.34799999999999998</v>
      </c>
      <c r="AJ200" s="5">
        <f>174/$AJ$3</f>
        <v>0.34799999999999998</v>
      </c>
      <c r="AL200">
        <v>49</v>
      </c>
      <c r="AM200" s="5">
        <f>AL200/AL205</f>
        <v>0.28994082840236685</v>
      </c>
      <c r="AN200" s="5">
        <f>49/$AN$3</f>
        <v>0.28994082840236685</v>
      </c>
      <c r="AP200">
        <v>83</v>
      </c>
      <c r="AQ200" s="5">
        <f>AP200/AP205</f>
        <v>0.26688102893890675</v>
      </c>
      <c r="AR200" s="5">
        <f>83/$AR$3</f>
        <v>0.26688102893890675</v>
      </c>
      <c r="AT200">
        <v>131</v>
      </c>
      <c r="AU200" s="5">
        <f>AT200/AT205</f>
        <v>0.33589743589743587</v>
      </c>
      <c r="AV200" s="5">
        <f>131/$AV$3</f>
        <v>0.33589743589743587</v>
      </c>
      <c r="AX200">
        <v>46</v>
      </c>
      <c r="AY200" s="5">
        <f>AX200/AX205</f>
        <v>0.35384615384615387</v>
      </c>
      <c r="AZ200" s="5">
        <f>46/$AZ$3</f>
        <v>0.35384615384615387</v>
      </c>
      <c r="BB200">
        <v>144</v>
      </c>
      <c r="BC200" s="5">
        <f>BB200/BB205</f>
        <v>0.35467980295566504</v>
      </c>
      <c r="BD200" s="5">
        <f>144/$BD$3</f>
        <v>0.35467980295566504</v>
      </c>
      <c r="BF200">
        <v>107</v>
      </c>
      <c r="BG200" s="5">
        <f>BF200/BF205</f>
        <v>0.28763440860215056</v>
      </c>
      <c r="BH200" s="5">
        <f>107/$BH$3</f>
        <v>0.28763440860215056</v>
      </c>
      <c r="BJ200">
        <v>58</v>
      </c>
      <c r="BK200" s="5">
        <f>BJ200/BJ205</f>
        <v>0.26126126126126126</v>
      </c>
      <c r="BL200" s="5">
        <f>58/$BL$3</f>
        <v>0.26126126126126126</v>
      </c>
      <c r="BN200">
        <v>131</v>
      </c>
      <c r="BO200" s="5">
        <f>BN200/BN205</f>
        <v>0.34473684210526317</v>
      </c>
      <c r="BP200" s="5">
        <f>131/$BP$3</f>
        <v>0.34473684210526317</v>
      </c>
      <c r="BQ200" s="12"/>
      <c r="BR200">
        <v>118</v>
      </c>
      <c r="BS200" s="5">
        <f>BR200/BR205</f>
        <v>0.31891891891891894</v>
      </c>
      <c r="BT200" s="5">
        <f>118/$BT$3</f>
        <v>0.31891891891891894</v>
      </c>
      <c r="BV200">
        <v>60</v>
      </c>
      <c r="BW200" s="5">
        <f>BV200/BV205</f>
        <v>0.24</v>
      </c>
      <c r="BX200" s="11">
        <f>60/$BX$3</f>
        <v>0.24</v>
      </c>
      <c r="BZ200">
        <v>80</v>
      </c>
      <c r="CA200" s="5">
        <f>BZ200/BZ205</f>
        <v>0.32</v>
      </c>
      <c r="CB200" s="5">
        <f>80/$CB$3</f>
        <v>0.32</v>
      </c>
      <c r="CD200">
        <v>69</v>
      </c>
      <c r="CE200" s="5">
        <f>CD200/CD205</f>
        <v>0.32857142857142857</v>
      </c>
      <c r="CF200" s="5">
        <f>69/$CF$3</f>
        <v>0.32857142857142857</v>
      </c>
      <c r="CH200">
        <v>67</v>
      </c>
      <c r="CI200" s="5">
        <f>CH200/CH205</f>
        <v>0.30454545454545456</v>
      </c>
      <c r="CJ200" s="5">
        <f>67/$CJ$3</f>
        <v>0.30454545454545456</v>
      </c>
      <c r="CL200">
        <v>93</v>
      </c>
      <c r="CM200" s="5">
        <f>CL200/CL205</f>
        <v>0.29062500000000002</v>
      </c>
      <c r="CN200" s="5">
        <f>93/$CN$3</f>
        <v>0.29062500000000002</v>
      </c>
    </row>
    <row r="201" spans="1:92" x14ac:dyDescent="0.25">
      <c r="A201" s="1" t="s">
        <v>203</v>
      </c>
      <c r="B201">
        <v>523</v>
      </c>
      <c r="C201" s="5">
        <f>B201/B205</f>
        <v>0.52300000000000002</v>
      </c>
      <c r="D201" s="5">
        <f>523/$D$3</f>
        <v>0.52300000000000002</v>
      </c>
      <c r="F201">
        <v>247</v>
      </c>
      <c r="G201" s="5">
        <f>F201/F205</f>
        <v>0.52330508474576276</v>
      </c>
      <c r="H201" s="5">
        <f>247/$H$3</f>
        <v>0.52330508474576276</v>
      </c>
      <c r="J201">
        <v>142</v>
      </c>
      <c r="K201" s="5">
        <f>J201/J205</f>
        <v>0.49824561403508771</v>
      </c>
      <c r="L201" s="5">
        <f>142/$L$3</f>
        <v>0.49824561403508771</v>
      </c>
      <c r="N201">
        <v>104</v>
      </c>
      <c r="O201" s="5">
        <f>N201/N205</f>
        <v>0.44827586206896552</v>
      </c>
      <c r="P201" s="11">
        <f>104/$P$3</f>
        <v>0.44827586206896552</v>
      </c>
      <c r="R201">
        <v>147</v>
      </c>
      <c r="S201" s="5">
        <f>R201/R205</f>
        <v>0.5</v>
      </c>
      <c r="T201" s="5">
        <f>147/$T$3</f>
        <v>0.5</v>
      </c>
      <c r="V201">
        <v>210</v>
      </c>
      <c r="W201" s="5">
        <f>V201/V205</f>
        <v>0.50480769230769229</v>
      </c>
      <c r="X201" s="5">
        <f>210/$X$3</f>
        <v>0.50480769230769229</v>
      </c>
      <c r="Z201">
        <v>216</v>
      </c>
      <c r="AA201" s="5">
        <f>Z201/Z205</f>
        <v>0.51428571428571423</v>
      </c>
      <c r="AB201" s="5">
        <f>216/$AB$3</f>
        <v>0.51428571428571423</v>
      </c>
      <c r="AD201">
        <v>271</v>
      </c>
      <c r="AE201" s="5">
        <f>AD201/AD205</f>
        <v>0.54200000000000004</v>
      </c>
      <c r="AF201" s="5">
        <f>271/$AF$3</f>
        <v>0.54200000000000004</v>
      </c>
      <c r="AH201">
        <v>252</v>
      </c>
      <c r="AI201" s="5">
        <f>AH201/AH205</f>
        <v>0.504</v>
      </c>
      <c r="AJ201" s="5">
        <f>252/$AJ$3</f>
        <v>0.504</v>
      </c>
      <c r="AL201">
        <v>88</v>
      </c>
      <c r="AM201" s="5">
        <f>AL201/AL205</f>
        <v>0.52071005917159763</v>
      </c>
      <c r="AN201" s="5">
        <f>88/$AN$3</f>
        <v>0.52071005917159763</v>
      </c>
      <c r="AP201">
        <v>180</v>
      </c>
      <c r="AQ201" s="5">
        <f>AP201/AP205</f>
        <v>0.5787781350482315</v>
      </c>
      <c r="AR201" s="10">
        <f>180/$AR$3</f>
        <v>0.5787781350482315</v>
      </c>
      <c r="AT201">
        <v>196</v>
      </c>
      <c r="AU201" s="5">
        <f>AT201/AT205</f>
        <v>0.50256410256410255</v>
      </c>
      <c r="AV201" s="5">
        <f>196/$AV$3</f>
        <v>0.50256410256410255</v>
      </c>
      <c r="AX201">
        <v>59</v>
      </c>
      <c r="AY201" s="5">
        <f>AX201/AX205</f>
        <v>0.45384615384615384</v>
      </c>
      <c r="AZ201" s="5">
        <f>59/$AZ$3</f>
        <v>0.45384615384615384</v>
      </c>
      <c r="BB201">
        <v>203</v>
      </c>
      <c r="BC201" s="5">
        <f>BB201/BB205</f>
        <v>0.5</v>
      </c>
      <c r="BD201" s="5">
        <f>203/$BD$3</f>
        <v>0.5</v>
      </c>
      <c r="BF201">
        <v>202</v>
      </c>
      <c r="BG201" s="5">
        <f>BF201/BF205</f>
        <v>0.543010752688172</v>
      </c>
      <c r="BH201" s="5">
        <f>202/$BH$3</f>
        <v>0.543010752688172</v>
      </c>
      <c r="BJ201">
        <v>118</v>
      </c>
      <c r="BK201" s="5">
        <f>BJ201/BJ205</f>
        <v>0.53153153153153154</v>
      </c>
      <c r="BL201" s="5">
        <f>118/$BL$3</f>
        <v>0.53153153153153154</v>
      </c>
      <c r="BN201">
        <v>197</v>
      </c>
      <c r="BO201" s="5">
        <f>BN201/BN205</f>
        <v>0.51842105263157889</v>
      </c>
      <c r="BP201" s="5">
        <f>197/$BP$3</f>
        <v>0.51842105263157889</v>
      </c>
      <c r="BR201">
        <v>179</v>
      </c>
      <c r="BS201" s="5">
        <f>BR201/BR205</f>
        <v>0.48378378378378378</v>
      </c>
      <c r="BT201" s="5">
        <f>179/$BT$3</f>
        <v>0.48378378378378378</v>
      </c>
      <c r="BV201">
        <v>147</v>
      </c>
      <c r="BW201" s="5">
        <f>BV201/BV205</f>
        <v>0.58799999999999997</v>
      </c>
      <c r="BX201" s="10">
        <f>147/$BX$3</f>
        <v>0.58799999999999997</v>
      </c>
      <c r="BZ201">
        <v>134</v>
      </c>
      <c r="CA201" s="5">
        <f>BZ201/BZ205</f>
        <v>0.53600000000000003</v>
      </c>
      <c r="CB201" s="5">
        <f>134/$CB$3</f>
        <v>0.53600000000000003</v>
      </c>
      <c r="CD201">
        <v>106</v>
      </c>
      <c r="CE201" s="5">
        <f>CD201/CD205</f>
        <v>0.50476190476190474</v>
      </c>
      <c r="CF201" s="5">
        <f>106/$CF$3</f>
        <v>0.50476190476190474</v>
      </c>
      <c r="CH201">
        <v>116</v>
      </c>
      <c r="CI201" s="5">
        <f>CH201/CH205</f>
        <v>0.52727272727272723</v>
      </c>
      <c r="CJ201" s="5">
        <f>116/$CJ$3</f>
        <v>0.52727272727272723</v>
      </c>
      <c r="CL201">
        <v>167</v>
      </c>
      <c r="CM201" s="5">
        <f>CL201/CL205</f>
        <v>0.52187499999999998</v>
      </c>
      <c r="CN201" s="5">
        <f>167/$CN$3</f>
        <v>0.52187499999999998</v>
      </c>
    </row>
    <row r="202" spans="1:92" x14ac:dyDescent="0.25">
      <c r="A202" s="1" t="s">
        <v>208</v>
      </c>
      <c r="B202">
        <v>110</v>
      </c>
      <c r="C202" s="5">
        <f>B202/B205</f>
        <v>0.11</v>
      </c>
      <c r="D202" s="5">
        <f>110/$D$3</f>
        <v>0.11</v>
      </c>
      <c r="F202">
        <v>52</v>
      </c>
      <c r="G202" s="5">
        <f>F202/F205</f>
        <v>0.11016949152542373</v>
      </c>
      <c r="H202" s="5">
        <f>52/$H$3</f>
        <v>0.11016949152542373</v>
      </c>
      <c r="J202">
        <v>28</v>
      </c>
      <c r="K202" s="5">
        <f>J202/J205</f>
        <v>9.8245614035087719E-2</v>
      </c>
      <c r="L202" s="5">
        <f>28/$L$3</f>
        <v>9.8245614035087719E-2</v>
      </c>
      <c r="N202">
        <v>21</v>
      </c>
      <c r="O202" s="5">
        <f>N202/N205</f>
        <v>9.0517241379310345E-2</v>
      </c>
      <c r="P202" s="5">
        <f>21/$P$3</f>
        <v>9.0517241379310345E-2</v>
      </c>
      <c r="R202">
        <v>25</v>
      </c>
      <c r="S202" s="5">
        <f>R202/R205</f>
        <v>8.5034013605442174E-2</v>
      </c>
      <c r="T202" s="5">
        <f>25/$T$3</f>
        <v>8.5034013605442174E-2</v>
      </c>
      <c r="V202">
        <v>41</v>
      </c>
      <c r="W202" s="5">
        <f>V202/V205</f>
        <v>9.8557692307692304E-2</v>
      </c>
      <c r="X202" s="5">
        <f>41/$X$3</f>
        <v>9.8557692307692304E-2</v>
      </c>
      <c r="Z202">
        <v>45</v>
      </c>
      <c r="AA202" s="5">
        <f>Z202/Z205</f>
        <v>0.10714285714285714</v>
      </c>
      <c r="AB202" s="5">
        <f>45/$AB$3</f>
        <v>0.10714285714285714</v>
      </c>
      <c r="AD202">
        <v>64</v>
      </c>
      <c r="AE202" s="5">
        <f>AD202/AD205</f>
        <v>0.128</v>
      </c>
      <c r="AF202" s="5">
        <f>64/$AF$3</f>
        <v>0.128</v>
      </c>
      <c r="AH202">
        <v>46</v>
      </c>
      <c r="AI202" s="5">
        <f>AH202/AH205</f>
        <v>9.1999999999999998E-2</v>
      </c>
      <c r="AJ202" s="5">
        <f>46/$AJ$3</f>
        <v>9.1999999999999998E-2</v>
      </c>
      <c r="AL202">
        <v>20</v>
      </c>
      <c r="AM202" s="5">
        <f>AL202/AL205</f>
        <v>0.11834319526627218</v>
      </c>
      <c r="AN202" s="5">
        <f>20/$AN$3</f>
        <v>0.11834319526627218</v>
      </c>
      <c r="AP202">
        <v>32</v>
      </c>
      <c r="AQ202" s="5">
        <f>AP202/AP205</f>
        <v>0.10289389067524116</v>
      </c>
      <c r="AR202" s="5">
        <f>32/$AR$3</f>
        <v>0.10289389067524116</v>
      </c>
      <c r="AT202">
        <v>41</v>
      </c>
      <c r="AU202" s="5">
        <f>AT202/AT205</f>
        <v>0.10512820512820513</v>
      </c>
      <c r="AV202" s="5">
        <f>41/$AV$3</f>
        <v>0.10512820512820513</v>
      </c>
      <c r="AX202">
        <v>17</v>
      </c>
      <c r="AY202" s="5">
        <f>AX202/AX205</f>
        <v>0.13076923076923078</v>
      </c>
      <c r="AZ202" s="5">
        <f>17/$AZ$3</f>
        <v>0.13076923076923078</v>
      </c>
      <c r="BB202">
        <v>28</v>
      </c>
      <c r="BC202" s="5">
        <f>BB202/BB205</f>
        <v>6.8965517241379309E-2</v>
      </c>
      <c r="BD202" s="5">
        <f>28/$BD$3</f>
        <v>6.8965517241379309E-2</v>
      </c>
      <c r="BF202">
        <v>48</v>
      </c>
      <c r="BG202" s="5">
        <f>BF202/BF205</f>
        <v>0.12903225806451613</v>
      </c>
      <c r="BH202" s="5">
        <f>48/$BH$3</f>
        <v>0.12903225806451613</v>
      </c>
      <c r="BI202" s="12"/>
      <c r="BJ202">
        <v>34</v>
      </c>
      <c r="BK202" s="5">
        <f>BJ202/BJ205</f>
        <v>0.15315315315315314</v>
      </c>
      <c r="BL202" s="5">
        <f>34/$BL$3</f>
        <v>0.15315315315315314</v>
      </c>
      <c r="BM202" s="12"/>
      <c r="BN202">
        <v>29</v>
      </c>
      <c r="BO202" s="5">
        <f>BN202/BN205</f>
        <v>7.6315789473684212E-2</v>
      </c>
      <c r="BP202" s="5">
        <f>29/$BP$3</f>
        <v>7.6315789473684212E-2</v>
      </c>
      <c r="BR202">
        <v>51</v>
      </c>
      <c r="BS202" s="5">
        <f>BR202/BR205</f>
        <v>0.13783783783783785</v>
      </c>
      <c r="BT202" s="5">
        <f>51/$BT$3</f>
        <v>0.13783783783783785</v>
      </c>
      <c r="BV202">
        <v>30</v>
      </c>
      <c r="BW202" s="5">
        <f>BV202/BV205</f>
        <v>0.12</v>
      </c>
      <c r="BX202" s="5">
        <f>30/$BX$3</f>
        <v>0.12</v>
      </c>
      <c r="BZ202">
        <v>24</v>
      </c>
      <c r="CA202" s="5">
        <f>BZ202/BZ205</f>
        <v>9.6000000000000002E-2</v>
      </c>
      <c r="CB202" s="5">
        <f>24/$CB$3</f>
        <v>9.6000000000000002E-2</v>
      </c>
      <c r="CD202">
        <v>20</v>
      </c>
      <c r="CE202" s="5">
        <f>CD202/CD205</f>
        <v>9.5238095238095233E-2</v>
      </c>
      <c r="CF202" s="5">
        <f>20/$CF$3</f>
        <v>9.5238095238095233E-2</v>
      </c>
      <c r="CH202">
        <v>26</v>
      </c>
      <c r="CI202" s="5">
        <f>CH202/CH205</f>
        <v>0.11818181818181818</v>
      </c>
      <c r="CJ202" s="5">
        <f>26/$CJ$3</f>
        <v>0.11818181818181818</v>
      </c>
      <c r="CL202">
        <v>40</v>
      </c>
      <c r="CM202" s="5">
        <f>CL202/CL205</f>
        <v>0.125</v>
      </c>
      <c r="CN202" s="5">
        <f>40/$CN$3</f>
        <v>0.125</v>
      </c>
    </row>
    <row r="203" spans="1:92" x14ac:dyDescent="0.25">
      <c r="A203" s="1" t="s">
        <v>226</v>
      </c>
      <c r="B203">
        <v>22</v>
      </c>
      <c r="C203" s="5">
        <f>B203/B205</f>
        <v>2.1999999999999999E-2</v>
      </c>
      <c r="D203" s="5">
        <f>22/$D$3</f>
        <v>2.1999999999999999E-2</v>
      </c>
      <c r="F203">
        <v>9</v>
      </c>
      <c r="G203" s="5">
        <f>F203/F205</f>
        <v>1.9067796610169493E-2</v>
      </c>
      <c r="H203" s="5">
        <f>9/$H$3</f>
        <v>1.9067796610169493E-2</v>
      </c>
      <c r="J203">
        <v>4</v>
      </c>
      <c r="K203" s="5">
        <f>J203/J205</f>
        <v>1.4035087719298246E-2</v>
      </c>
      <c r="L203" s="5">
        <f>4/$L$3</f>
        <v>1.4035087719298246E-2</v>
      </c>
      <c r="N203">
        <v>8</v>
      </c>
      <c r="O203" s="5">
        <f>N203/N205</f>
        <v>3.4482758620689655E-2</v>
      </c>
      <c r="P203" s="5">
        <f>8/$P$3</f>
        <v>3.4482758620689655E-2</v>
      </c>
      <c r="R203">
        <v>6</v>
      </c>
      <c r="S203" s="5">
        <f>R203/R205</f>
        <v>2.0408163265306121E-2</v>
      </c>
      <c r="T203" s="5">
        <f>6/$T$3</f>
        <v>2.0408163265306121E-2</v>
      </c>
      <c r="V203">
        <v>8</v>
      </c>
      <c r="W203" s="5">
        <f>V203/V205</f>
        <v>1.9230769230769232E-2</v>
      </c>
      <c r="X203" s="5">
        <f>8/$X$3</f>
        <v>1.9230769230769232E-2</v>
      </c>
      <c r="Z203">
        <v>9</v>
      </c>
      <c r="AA203" s="5">
        <f>Z203/Z205</f>
        <v>2.1428571428571429E-2</v>
      </c>
      <c r="AB203" s="5">
        <f>9/$AB$3</f>
        <v>2.1428571428571429E-2</v>
      </c>
      <c r="AD203">
        <v>14</v>
      </c>
      <c r="AE203" s="5">
        <f>AD203/AD205</f>
        <v>2.8000000000000001E-2</v>
      </c>
      <c r="AF203" s="5">
        <f>14/$AF$3</f>
        <v>2.8000000000000001E-2</v>
      </c>
      <c r="AH203">
        <v>8</v>
      </c>
      <c r="AI203" s="5">
        <f>AH203/AH205</f>
        <v>1.6E-2</v>
      </c>
      <c r="AJ203" s="5">
        <f>8/$AJ$3</f>
        <v>1.6E-2</v>
      </c>
      <c r="AL203">
        <v>3</v>
      </c>
      <c r="AM203" s="5">
        <f>AL203/AL205</f>
        <v>1.7751479289940829E-2</v>
      </c>
      <c r="AN203" s="5">
        <f>3/$AN$3</f>
        <v>1.7751479289940829E-2</v>
      </c>
      <c r="AP203">
        <v>6</v>
      </c>
      <c r="AQ203" s="5">
        <f>AP203/AP205</f>
        <v>1.9292604501607719E-2</v>
      </c>
      <c r="AR203" s="5">
        <f>6/$AR$3</f>
        <v>1.9292604501607719E-2</v>
      </c>
      <c r="AT203">
        <v>10</v>
      </c>
      <c r="AU203" s="5">
        <f>AT203/AT205</f>
        <v>2.564102564102564E-2</v>
      </c>
      <c r="AV203" s="5">
        <f>10/$AV$3</f>
        <v>2.564102564102564E-2</v>
      </c>
      <c r="AX203">
        <v>3</v>
      </c>
      <c r="AY203" s="5">
        <f>AX203/AX205</f>
        <v>2.3076923076923078E-2</v>
      </c>
      <c r="AZ203" s="5">
        <f>3/$AZ$3</f>
        <v>2.3076923076923078E-2</v>
      </c>
      <c r="BB203">
        <v>9</v>
      </c>
      <c r="BC203" s="5">
        <f>BB203/BB205</f>
        <v>2.2167487684729065E-2</v>
      </c>
      <c r="BD203" s="5">
        <f>9/$BD$3</f>
        <v>2.2167487684729065E-2</v>
      </c>
      <c r="BF203">
        <v>5</v>
      </c>
      <c r="BG203" s="5">
        <f>BF203/BF205</f>
        <v>1.3440860215053764E-2</v>
      </c>
      <c r="BH203" s="5">
        <f>5/$BH$3</f>
        <v>1.3440860215053764E-2</v>
      </c>
      <c r="BJ203">
        <v>8</v>
      </c>
      <c r="BK203" s="5">
        <f>BJ203/BJ205</f>
        <v>3.6036036036036036E-2</v>
      </c>
      <c r="BL203" s="5">
        <f>8/$BL$3</f>
        <v>3.6036036036036036E-2</v>
      </c>
      <c r="BN203">
        <v>9</v>
      </c>
      <c r="BO203" s="5">
        <f>BN203/BN205</f>
        <v>2.368421052631579E-2</v>
      </c>
      <c r="BP203" s="5">
        <f>9/$BP$3</f>
        <v>2.368421052631579E-2</v>
      </c>
      <c r="BR203">
        <v>5</v>
      </c>
      <c r="BS203" s="5">
        <f>BR203/BR205</f>
        <v>1.3513513513513514E-2</v>
      </c>
      <c r="BT203" s="5">
        <f>5/$BT$3</f>
        <v>1.3513513513513514E-2</v>
      </c>
      <c r="BV203">
        <v>8</v>
      </c>
      <c r="BW203" s="5">
        <f>BV203/BV205</f>
        <v>3.2000000000000001E-2</v>
      </c>
      <c r="BX203" s="5">
        <f>8/$BX$3</f>
        <v>3.2000000000000001E-2</v>
      </c>
      <c r="BZ203">
        <v>1</v>
      </c>
      <c r="CA203" s="5">
        <f>BZ203/BZ205</f>
        <v>4.0000000000000001E-3</v>
      </c>
      <c r="CB203" s="5">
        <f>1/$CB$3</f>
        <v>4.0000000000000001E-3</v>
      </c>
      <c r="CD203">
        <v>5</v>
      </c>
      <c r="CE203" s="5">
        <f>CD203/CD205</f>
        <v>2.3809523809523808E-2</v>
      </c>
      <c r="CF203" s="5">
        <f>5/$CF$3</f>
        <v>2.3809523809523808E-2</v>
      </c>
      <c r="CH203">
        <v>5</v>
      </c>
      <c r="CI203" s="5">
        <f>CH203/CH205</f>
        <v>2.2727272727272728E-2</v>
      </c>
      <c r="CJ203" s="5">
        <f>5/$CJ$3</f>
        <v>2.2727272727272728E-2</v>
      </c>
      <c r="CL203">
        <v>11</v>
      </c>
      <c r="CM203" s="5">
        <f>CL203/CL205</f>
        <v>3.4375000000000003E-2</v>
      </c>
      <c r="CN203" s="5">
        <f>11/$CN$3</f>
        <v>3.4375000000000003E-2</v>
      </c>
    </row>
    <row r="204" spans="1:92" x14ac:dyDescent="0.25">
      <c r="A204" s="1" t="s">
        <v>12</v>
      </c>
      <c r="B204">
        <v>0</v>
      </c>
      <c r="C204" s="5">
        <f>B204/B205</f>
        <v>0</v>
      </c>
      <c r="D204" s="5">
        <f>0/$D$3</f>
        <v>0</v>
      </c>
      <c r="F204">
        <v>0</v>
      </c>
      <c r="G204" s="5">
        <f>F204/F205</f>
        <v>0</v>
      </c>
      <c r="H204" s="5">
        <f>0/$H$3</f>
        <v>0</v>
      </c>
      <c r="J204">
        <v>0</v>
      </c>
      <c r="K204" s="5">
        <f>J204/J205</f>
        <v>0</v>
      </c>
      <c r="L204" s="5">
        <f>0/$L$3</f>
        <v>0</v>
      </c>
      <c r="N204">
        <v>0</v>
      </c>
      <c r="O204" s="5">
        <f>N204/N205</f>
        <v>0</v>
      </c>
      <c r="P204" s="5">
        <f>0/$P$3</f>
        <v>0</v>
      </c>
      <c r="R204">
        <v>0</v>
      </c>
      <c r="S204" s="5">
        <f>R204/R205</f>
        <v>0</v>
      </c>
      <c r="T204" s="5">
        <f>0/$T$3</f>
        <v>0</v>
      </c>
      <c r="V204">
        <v>0</v>
      </c>
      <c r="W204" s="5">
        <f>V204/V205</f>
        <v>0</v>
      </c>
      <c r="X204" s="5">
        <f>0/$X$3</f>
        <v>0</v>
      </c>
      <c r="Z204">
        <v>0</v>
      </c>
      <c r="AA204" s="5">
        <f>Z204/Z205</f>
        <v>0</v>
      </c>
      <c r="AB204" s="5">
        <f>0/$AB$3</f>
        <v>0</v>
      </c>
      <c r="AD204">
        <v>0</v>
      </c>
      <c r="AE204" s="5">
        <f>AD204/AD205</f>
        <v>0</v>
      </c>
      <c r="AF204" s="5">
        <f>0/$AF$3</f>
        <v>0</v>
      </c>
      <c r="AH204">
        <v>0</v>
      </c>
      <c r="AI204" s="5">
        <f>AH204/AH205</f>
        <v>0</v>
      </c>
      <c r="AJ204" s="5">
        <f>0/$AJ$3</f>
        <v>0</v>
      </c>
      <c r="AL204">
        <v>0</v>
      </c>
      <c r="AM204" s="5">
        <f>AL204/AL205</f>
        <v>0</v>
      </c>
      <c r="AN204" s="5">
        <f>0/$AN$3</f>
        <v>0</v>
      </c>
      <c r="AP204">
        <v>0</v>
      </c>
      <c r="AQ204" s="5">
        <f>AP204/AP205</f>
        <v>0</v>
      </c>
      <c r="AR204" s="5">
        <f>0/$AR$3</f>
        <v>0</v>
      </c>
      <c r="AT204">
        <v>0</v>
      </c>
      <c r="AU204" s="5">
        <f>AT204/AT205</f>
        <v>0</v>
      </c>
      <c r="AV204" s="5">
        <f>0/$AV$3</f>
        <v>0</v>
      </c>
      <c r="AX204">
        <v>0</v>
      </c>
      <c r="AY204" s="5">
        <f>AX204/AX205</f>
        <v>0</v>
      </c>
      <c r="AZ204" s="5">
        <f>0/$AZ$3</f>
        <v>0</v>
      </c>
      <c r="BB204">
        <v>0</v>
      </c>
      <c r="BC204" s="5">
        <f>BB204/BB205</f>
        <v>0</v>
      </c>
      <c r="BD204" s="5">
        <f>0/$BD$3</f>
        <v>0</v>
      </c>
      <c r="BF204">
        <v>0</v>
      </c>
      <c r="BG204" s="5">
        <f>BF204/BF205</f>
        <v>0</v>
      </c>
      <c r="BH204" s="5">
        <f>0/$BH$3</f>
        <v>0</v>
      </c>
      <c r="BJ204">
        <v>0</v>
      </c>
      <c r="BK204" s="5">
        <f>BJ204/BJ205</f>
        <v>0</v>
      </c>
      <c r="BL204" s="5">
        <f>0/$BL$3</f>
        <v>0</v>
      </c>
      <c r="BN204">
        <v>0</v>
      </c>
      <c r="BO204" s="5">
        <f>BN204/BN205</f>
        <v>0</v>
      </c>
      <c r="BP204" s="5">
        <f>0/$BP$3</f>
        <v>0</v>
      </c>
      <c r="BR204">
        <v>0</v>
      </c>
      <c r="BS204" s="5">
        <f>BR204/BR205</f>
        <v>0</v>
      </c>
      <c r="BT204" s="5">
        <f>0/$BT$3</f>
        <v>0</v>
      </c>
      <c r="BV204">
        <v>0</v>
      </c>
      <c r="BW204" s="5">
        <f>BV204/BV205</f>
        <v>0</v>
      </c>
      <c r="BX204" s="5">
        <f>0/$BX$3</f>
        <v>0</v>
      </c>
      <c r="BZ204">
        <v>0</v>
      </c>
      <c r="CA204" s="5">
        <f>BZ204/BZ205</f>
        <v>0</v>
      </c>
      <c r="CB204" s="5">
        <f>0/$CB$3</f>
        <v>0</v>
      </c>
      <c r="CD204">
        <v>0</v>
      </c>
      <c r="CE204" s="5">
        <f>CD204/CD205</f>
        <v>0</v>
      </c>
      <c r="CF204" s="5">
        <f>0/$CF$3</f>
        <v>0</v>
      </c>
      <c r="CH204">
        <v>0</v>
      </c>
      <c r="CI204" s="5">
        <f>CH204/CH205</f>
        <v>0</v>
      </c>
      <c r="CJ204" s="5">
        <f>0/$CJ$3</f>
        <v>0</v>
      </c>
      <c r="CL204">
        <v>0</v>
      </c>
      <c r="CM204" s="5">
        <f>CL204/CL205</f>
        <v>0</v>
      </c>
      <c r="CN204" s="5">
        <f>0/$CN$3</f>
        <v>0</v>
      </c>
    </row>
    <row r="205" spans="1:92" s="6" customFormat="1" x14ac:dyDescent="0.25">
      <c r="A205" s="7" t="s">
        <v>13</v>
      </c>
      <c r="B205" s="6">
        <v>1000</v>
      </c>
      <c r="F205" s="6">
        <v>472</v>
      </c>
      <c r="J205" s="6">
        <v>285</v>
      </c>
      <c r="N205" s="6">
        <v>232</v>
      </c>
      <c r="R205" s="6">
        <v>294</v>
      </c>
      <c r="V205" s="6">
        <v>416</v>
      </c>
      <c r="Z205" s="6">
        <v>420</v>
      </c>
      <c r="AD205" s="6">
        <v>500</v>
      </c>
      <c r="AH205" s="6">
        <v>500</v>
      </c>
      <c r="AL205" s="6">
        <v>169</v>
      </c>
      <c r="AP205" s="6">
        <v>311</v>
      </c>
      <c r="AT205" s="6">
        <v>390</v>
      </c>
      <c r="AX205" s="6">
        <v>130</v>
      </c>
      <c r="BB205" s="6">
        <v>406</v>
      </c>
      <c r="BF205" s="6">
        <v>372</v>
      </c>
      <c r="BJ205" s="6">
        <v>222</v>
      </c>
      <c r="BN205" s="6">
        <v>380</v>
      </c>
      <c r="BR205" s="6">
        <v>370</v>
      </c>
      <c r="BV205" s="6">
        <v>250</v>
      </c>
      <c r="BZ205" s="6">
        <v>250</v>
      </c>
      <c r="CD205" s="6">
        <v>210</v>
      </c>
      <c r="CH205" s="6">
        <v>220</v>
      </c>
      <c r="CL205" s="6">
        <v>320</v>
      </c>
    </row>
    <row r="206" spans="1:92" hidden="1" x14ac:dyDescent="0.25">
      <c r="A206" s="8" t="s">
        <v>14</v>
      </c>
      <c r="B206">
        <v>0</v>
      </c>
      <c r="F206">
        <v>0</v>
      </c>
      <c r="J206">
        <v>0</v>
      </c>
      <c r="N206">
        <v>0</v>
      </c>
      <c r="R206">
        <v>0</v>
      </c>
      <c r="V206">
        <v>0</v>
      </c>
      <c r="Z206">
        <v>0</v>
      </c>
      <c r="AD206">
        <v>0</v>
      </c>
      <c r="AH206">
        <v>0</v>
      </c>
      <c r="AL206">
        <v>0</v>
      </c>
      <c r="AP206">
        <v>0</v>
      </c>
      <c r="AT206">
        <v>0</v>
      </c>
      <c r="AX206">
        <v>0</v>
      </c>
      <c r="BB206">
        <v>0</v>
      </c>
      <c r="BF206">
        <v>0</v>
      </c>
      <c r="BJ206">
        <v>0</v>
      </c>
      <c r="BN206">
        <v>0</v>
      </c>
      <c r="BR206">
        <v>0</v>
      </c>
      <c r="BV206">
        <v>0</v>
      </c>
      <c r="BZ206">
        <v>0</v>
      </c>
      <c r="CD206">
        <v>0</v>
      </c>
      <c r="CH206">
        <v>0</v>
      </c>
      <c r="CL206">
        <v>0</v>
      </c>
    </row>
    <row r="207" spans="1:92" hidden="1" x14ac:dyDescent="0.25">
      <c r="A207" s="8" t="s">
        <v>15</v>
      </c>
      <c r="B207">
        <v>0</v>
      </c>
      <c r="F207">
        <v>0</v>
      </c>
      <c r="J207">
        <v>0</v>
      </c>
      <c r="N207">
        <v>0</v>
      </c>
      <c r="R207">
        <v>0</v>
      </c>
      <c r="V207">
        <v>0</v>
      </c>
      <c r="Z207">
        <v>0</v>
      </c>
      <c r="AD207">
        <v>0</v>
      </c>
      <c r="AH207">
        <v>0</v>
      </c>
      <c r="AL207">
        <v>0</v>
      </c>
      <c r="AP207">
        <v>0</v>
      </c>
      <c r="AT207">
        <v>0</v>
      </c>
      <c r="AX207">
        <v>0</v>
      </c>
      <c r="BB207">
        <v>0</v>
      </c>
      <c r="BF207">
        <v>0</v>
      </c>
      <c r="BJ207">
        <v>0</v>
      </c>
      <c r="BN207">
        <v>0</v>
      </c>
      <c r="BR207">
        <v>0</v>
      </c>
      <c r="BV207">
        <v>0</v>
      </c>
      <c r="BZ207">
        <v>0</v>
      </c>
      <c r="CD207">
        <v>0</v>
      </c>
      <c r="CH207">
        <v>0</v>
      </c>
      <c r="CL207">
        <v>0</v>
      </c>
    </row>
    <row r="209" spans="1:92" x14ac:dyDescent="0.25">
      <c r="AN209" s="2" t="s">
        <v>5</v>
      </c>
      <c r="AR209" s="2" t="s">
        <v>6</v>
      </c>
      <c r="AV209" s="2" t="s">
        <v>7</v>
      </c>
      <c r="AZ209" s="2" t="s">
        <v>8</v>
      </c>
      <c r="BD209" s="2" t="s">
        <v>5</v>
      </c>
      <c r="BH209" s="2" t="s">
        <v>6</v>
      </c>
      <c r="BL209" s="2" t="s">
        <v>7</v>
      </c>
      <c r="BP209" s="2" t="s">
        <v>5</v>
      </c>
      <c r="BT209" s="2" t="s">
        <v>6</v>
      </c>
      <c r="BX209" s="2" t="s">
        <v>7</v>
      </c>
      <c r="CB209" s="2" t="s">
        <v>5</v>
      </c>
      <c r="CF209" s="2" t="s">
        <v>6</v>
      </c>
      <c r="CJ209" s="2" t="s">
        <v>7</v>
      </c>
      <c r="CN209" s="2" t="s">
        <v>8</v>
      </c>
    </row>
    <row r="210" spans="1:92" s="3" customFormat="1" x14ac:dyDescent="0.25">
      <c r="A210" s="3" t="s">
        <v>2143</v>
      </c>
      <c r="D210" s="4" t="s">
        <v>10</v>
      </c>
      <c r="H210" s="4" t="s">
        <v>10</v>
      </c>
      <c r="L210" s="4" t="s">
        <v>10</v>
      </c>
      <c r="P210" s="4" t="s">
        <v>10</v>
      </c>
      <c r="T210" s="4" t="s">
        <v>10</v>
      </c>
      <c r="X210" s="4" t="s">
        <v>10</v>
      </c>
      <c r="AB210" s="4" t="s">
        <v>10</v>
      </c>
      <c r="AF210" s="4" t="s">
        <v>10</v>
      </c>
      <c r="AJ210" s="4" t="s">
        <v>10</v>
      </c>
      <c r="AN210" s="4" t="s">
        <v>10</v>
      </c>
      <c r="AR210" s="4" t="s">
        <v>10</v>
      </c>
      <c r="AV210" s="4" t="s">
        <v>10</v>
      </c>
      <c r="AZ210" s="4" t="s">
        <v>10</v>
      </c>
      <c r="BD210" s="4" t="s">
        <v>10</v>
      </c>
      <c r="BH210" s="4" t="s">
        <v>10</v>
      </c>
      <c r="BL210" s="4" t="s">
        <v>10</v>
      </c>
      <c r="BP210" s="4" t="s">
        <v>10</v>
      </c>
      <c r="BT210" s="4" t="s">
        <v>10</v>
      </c>
      <c r="BX210" s="4" t="s">
        <v>10</v>
      </c>
      <c r="CB210" s="4" t="s">
        <v>10</v>
      </c>
      <c r="CF210" s="4" t="s">
        <v>10</v>
      </c>
      <c r="CJ210" s="4" t="s">
        <v>10</v>
      </c>
      <c r="CN210" s="4" t="s">
        <v>10</v>
      </c>
    </row>
    <row r="211" spans="1:92" x14ac:dyDescent="0.25">
      <c r="A211" s="1" t="s">
        <v>1810</v>
      </c>
      <c r="B211">
        <v>1000</v>
      </c>
      <c r="C211" s="5">
        <f>B211/B213</f>
        <v>1</v>
      </c>
      <c r="D211" s="5">
        <f>1000/$D$3</f>
        <v>1</v>
      </c>
      <c r="F211">
        <v>472</v>
      </c>
      <c r="G211" s="5">
        <f>F211/F213</f>
        <v>1</v>
      </c>
      <c r="H211" s="5">
        <f>472/$H$3</f>
        <v>1</v>
      </c>
      <c r="J211">
        <v>285</v>
      </c>
      <c r="K211" s="5">
        <f>J211/J213</f>
        <v>1</v>
      </c>
      <c r="L211" s="5">
        <f>285/$L$3</f>
        <v>1</v>
      </c>
      <c r="N211">
        <v>232</v>
      </c>
      <c r="O211" s="5">
        <f>N211/N213</f>
        <v>1</v>
      </c>
      <c r="P211" s="5">
        <f>232/$P$3</f>
        <v>1</v>
      </c>
      <c r="R211">
        <v>294</v>
      </c>
      <c r="S211" s="5">
        <f>R211/R213</f>
        <v>1</v>
      </c>
      <c r="T211" s="5">
        <f>294/$T$3</f>
        <v>1</v>
      </c>
      <c r="V211">
        <v>416</v>
      </c>
      <c r="W211" s="5">
        <f>V211/V213</f>
        <v>1</v>
      </c>
      <c r="X211" s="5">
        <f>416/$X$3</f>
        <v>1</v>
      </c>
      <c r="Z211">
        <v>420</v>
      </c>
      <c r="AA211" s="5">
        <f>Z211/Z213</f>
        <v>1</v>
      </c>
      <c r="AB211" s="5">
        <f>420/$AB$3</f>
        <v>1</v>
      </c>
      <c r="AD211">
        <v>500</v>
      </c>
      <c r="AE211" s="5">
        <f>AD211/AD213</f>
        <v>1</v>
      </c>
      <c r="AF211" s="5">
        <f>500/$AF$3</f>
        <v>1</v>
      </c>
      <c r="AH211">
        <v>500</v>
      </c>
      <c r="AI211" s="5">
        <f>AH211/AH213</f>
        <v>1</v>
      </c>
      <c r="AJ211" s="5">
        <f>500/$AJ$3</f>
        <v>1</v>
      </c>
      <c r="AL211">
        <v>169</v>
      </c>
      <c r="AM211" s="5">
        <f>AL211/AL213</f>
        <v>1</v>
      </c>
      <c r="AN211" s="5">
        <f>169/$AN$3</f>
        <v>1</v>
      </c>
      <c r="AP211">
        <v>311</v>
      </c>
      <c r="AQ211" s="5">
        <f>AP211/AP213</f>
        <v>1</v>
      </c>
      <c r="AR211" s="5">
        <f>311/$AR$3</f>
        <v>1</v>
      </c>
      <c r="AT211">
        <v>390</v>
      </c>
      <c r="AU211" s="5">
        <f>AT211/AT213</f>
        <v>1</v>
      </c>
      <c r="AV211" s="5">
        <f>390/$AV$3</f>
        <v>1</v>
      </c>
      <c r="AX211">
        <v>130</v>
      </c>
      <c r="AY211" s="5">
        <f>AX211/AX213</f>
        <v>1</v>
      </c>
      <c r="AZ211" s="5">
        <f>130/$AZ$3</f>
        <v>1</v>
      </c>
      <c r="BB211">
        <v>406</v>
      </c>
      <c r="BC211" s="5">
        <f>BB211/BB213</f>
        <v>1</v>
      </c>
      <c r="BD211" s="5">
        <f>406/$BD$3</f>
        <v>1</v>
      </c>
      <c r="BF211">
        <v>372</v>
      </c>
      <c r="BG211" s="5">
        <f>BF211/BF213</f>
        <v>1</v>
      </c>
      <c r="BH211" s="5">
        <f>372/$BH$3</f>
        <v>1</v>
      </c>
      <c r="BJ211">
        <v>222</v>
      </c>
      <c r="BK211" s="5">
        <f>BJ211/BJ213</f>
        <v>1</v>
      </c>
      <c r="BL211" s="5">
        <f>222/$BL$3</f>
        <v>1</v>
      </c>
      <c r="BN211">
        <v>380</v>
      </c>
      <c r="BO211" s="5">
        <f>BN211/BN213</f>
        <v>1</v>
      </c>
      <c r="BP211" s="5">
        <f>380/$BP$3</f>
        <v>1</v>
      </c>
      <c r="BR211">
        <v>370</v>
      </c>
      <c r="BS211" s="5">
        <f>BR211/BR213</f>
        <v>1</v>
      </c>
      <c r="BT211" s="5">
        <f>370/$BT$3</f>
        <v>1</v>
      </c>
      <c r="BV211">
        <v>250</v>
      </c>
      <c r="BW211" s="5">
        <f>BV211/BV213</f>
        <v>1</v>
      </c>
      <c r="BX211" s="5">
        <f>250/$BX$3</f>
        <v>1</v>
      </c>
      <c r="BZ211">
        <v>250</v>
      </c>
      <c r="CA211" s="5">
        <f>BZ211/BZ213</f>
        <v>1</v>
      </c>
      <c r="CB211" s="5">
        <f>250/$CB$3</f>
        <v>1</v>
      </c>
      <c r="CD211">
        <v>210</v>
      </c>
      <c r="CE211" s="5">
        <f>CD211/CD213</f>
        <v>1</v>
      </c>
      <c r="CF211" s="5">
        <f>210/$CF$3</f>
        <v>1</v>
      </c>
      <c r="CH211">
        <v>220</v>
      </c>
      <c r="CI211" s="5">
        <f>CH211/CH213</f>
        <v>1</v>
      </c>
      <c r="CJ211" s="5">
        <f>220/$CJ$3</f>
        <v>1</v>
      </c>
      <c r="CL211">
        <v>320</v>
      </c>
      <c r="CM211" s="5">
        <f>CL211/CL213</f>
        <v>1</v>
      </c>
      <c r="CN211" s="5">
        <f>320/$CN$3</f>
        <v>1</v>
      </c>
    </row>
    <row r="212" spans="1:92" x14ac:dyDescent="0.25">
      <c r="A212" s="1" t="s">
        <v>12</v>
      </c>
      <c r="B212">
        <v>0</v>
      </c>
      <c r="C212" s="5">
        <f>B212/B213</f>
        <v>0</v>
      </c>
      <c r="D212" s="5">
        <f>0/$D$3</f>
        <v>0</v>
      </c>
      <c r="F212">
        <v>0</v>
      </c>
      <c r="G212" s="5">
        <f>F212/F213</f>
        <v>0</v>
      </c>
      <c r="H212" s="5">
        <f>0/$H$3</f>
        <v>0</v>
      </c>
      <c r="J212">
        <v>0</v>
      </c>
      <c r="K212" s="5">
        <f>J212/J213</f>
        <v>0</v>
      </c>
      <c r="L212" s="5">
        <f>0/$L$3</f>
        <v>0</v>
      </c>
      <c r="N212">
        <v>0</v>
      </c>
      <c r="O212" s="5">
        <f>N212/N213</f>
        <v>0</v>
      </c>
      <c r="P212" s="5">
        <f>0/$P$3</f>
        <v>0</v>
      </c>
      <c r="R212">
        <v>0</v>
      </c>
      <c r="S212" s="5">
        <f>R212/R213</f>
        <v>0</v>
      </c>
      <c r="T212" s="5">
        <f>0/$T$3</f>
        <v>0</v>
      </c>
      <c r="V212">
        <v>0</v>
      </c>
      <c r="W212" s="5">
        <f>V212/V213</f>
        <v>0</v>
      </c>
      <c r="X212" s="5">
        <f>0/$X$3</f>
        <v>0</v>
      </c>
      <c r="Z212">
        <v>0</v>
      </c>
      <c r="AA212" s="5">
        <f>Z212/Z213</f>
        <v>0</v>
      </c>
      <c r="AB212" s="5">
        <f>0/$AB$3</f>
        <v>0</v>
      </c>
      <c r="AD212">
        <v>0</v>
      </c>
      <c r="AE212" s="5">
        <f>AD212/AD213</f>
        <v>0</v>
      </c>
      <c r="AF212" s="5">
        <f>0/$AF$3</f>
        <v>0</v>
      </c>
      <c r="AH212">
        <v>0</v>
      </c>
      <c r="AI212" s="5">
        <f>AH212/AH213</f>
        <v>0</v>
      </c>
      <c r="AJ212" s="5">
        <f>0/$AJ$3</f>
        <v>0</v>
      </c>
      <c r="AL212">
        <v>0</v>
      </c>
      <c r="AM212" s="5">
        <f>AL212/AL213</f>
        <v>0</v>
      </c>
      <c r="AN212" s="5">
        <f>0/$AN$3</f>
        <v>0</v>
      </c>
      <c r="AP212">
        <v>0</v>
      </c>
      <c r="AQ212" s="5">
        <f>AP212/AP213</f>
        <v>0</v>
      </c>
      <c r="AR212" s="5">
        <f>0/$AR$3</f>
        <v>0</v>
      </c>
      <c r="AT212">
        <v>0</v>
      </c>
      <c r="AU212" s="5">
        <f>AT212/AT213</f>
        <v>0</v>
      </c>
      <c r="AV212" s="5">
        <f>0/$AV$3</f>
        <v>0</v>
      </c>
      <c r="AX212">
        <v>0</v>
      </c>
      <c r="AY212" s="5">
        <f>AX212/AX213</f>
        <v>0</v>
      </c>
      <c r="AZ212" s="5">
        <f>0/$AZ$3</f>
        <v>0</v>
      </c>
      <c r="BB212">
        <v>0</v>
      </c>
      <c r="BC212" s="5">
        <f>BB212/BB213</f>
        <v>0</v>
      </c>
      <c r="BD212" s="5">
        <f>0/$BD$3</f>
        <v>0</v>
      </c>
      <c r="BF212">
        <v>0</v>
      </c>
      <c r="BG212" s="5">
        <f>BF212/BF213</f>
        <v>0</v>
      </c>
      <c r="BH212" s="5">
        <f>0/$BH$3</f>
        <v>0</v>
      </c>
      <c r="BJ212">
        <v>0</v>
      </c>
      <c r="BK212" s="5">
        <f>BJ212/BJ213</f>
        <v>0</v>
      </c>
      <c r="BL212" s="5">
        <f>0/$BL$3</f>
        <v>0</v>
      </c>
      <c r="BN212">
        <v>0</v>
      </c>
      <c r="BO212" s="5">
        <f>BN212/BN213</f>
        <v>0</v>
      </c>
      <c r="BP212" s="5">
        <f>0/$BP$3</f>
        <v>0</v>
      </c>
      <c r="BR212">
        <v>0</v>
      </c>
      <c r="BS212" s="5">
        <f>BR212/BR213</f>
        <v>0</v>
      </c>
      <c r="BT212" s="5">
        <f>0/$BT$3</f>
        <v>0</v>
      </c>
      <c r="BV212">
        <v>0</v>
      </c>
      <c r="BW212" s="5">
        <f>BV212/BV213</f>
        <v>0</v>
      </c>
      <c r="BX212" s="5">
        <f>0/$BX$3</f>
        <v>0</v>
      </c>
      <c r="BZ212">
        <v>0</v>
      </c>
      <c r="CA212" s="5">
        <f>BZ212/BZ213</f>
        <v>0</v>
      </c>
      <c r="CB212" s="5">
        <f>0/$CB$3</f>
        <v>0</v>
      </c>
      <c r="CD212">
        <v>0</v>
      </c>
      <c r="CE212" s="5">
        <f>CD212/CD213</f>
        <v>0</v>
      </c>
      <c r="CF212" s="5">
        <f>0/$CF$3</f>
        <v>0</v>
      </c>
      <c r="CH212">
        <v>0</v>
      </c>
      <c r="CI212" s="5">
        <f>CH212/CH213</f>
        <v>0</v>
      </c>
      <c r="CJ212" s="5">
        <f>0/$CJ$3</f>
        <v>0</v>
      </c>
      <c r="CL212">
        <v>0</v>
      </c>
      <c r="CM212" s="5">
        <f>CL212/CL213</f>
        <v>0</v>
      </c>
      <c r="CN212" s="5">
        <f>0/$CN$3</f>
        <v>0</v>
      </c>
    </row>
    <row r="213" spans="1:92" s="6" customFormat="1" x14ac:dyDescent="0.25">
      <c r="A213" s="7" t="s">
        <v>13</v>
      </c>
      <c r="B213" s="6">
        <v>1000</v>
      </c>
      <c r="F213" s="6">
        <v>472</v>
      </c>
      <c r="J213" s="6">
        <v>285</v>
      </c>
      <c r="N213" s="6">
        <v>232</v>
      </c>
      <c r="R213" s="6">
        <v>294</v>
      </c>
      <c r="V213" s="6">
        <v>416</v>
      </c>
      <c r="Z213" s="6">
        <v>420</v>
      </c>
      <c r="AD213" s="6">
        <v>500</v>
      </c>
      <c r="AH213" s="6">
        <v>500</v>
      </c>
      <c r="AL213" s="6">
        <v>169</v>
      </c>
      <c r="AP213" s="6">
        <v>311</v>
      </c>
      <c r="AT213" s="6">
        <v>390</v>
      </c>
      <c r="AX213" s="6">
        <v>130</v>
      </c>
      <c r="BB213" s="6">
        <v>406</v>
      </c>
      <c r="BF213" s="6">
        <v>372</v>
      </c>
      <c r="BJ213" s="6">
        <v>222</v>
      </c>
      <c r="BN213" s="6">
        <v>380</v>
      </c>
      <c r="BR213" s="6">
        <v>370</v>
      </c>
      <c r="BV213" s="6">
        <v>250</v>
      </c>
      <c r="BZ213" s="6">
        <v>250</v>
      </c>
      <c r="CD213" s="6">
        <v>210</v>
      </c>
      <c r="CH213" s="6">
        <v>220</v>
      </c>
      <c r="CL213" s="6">
        <v>320</v>
      </c>
    </row>
    <row r="214" spans="1:92" hidden="1" x14ac:dyDescent="0.25">
      <c r="A214" s="8" t="s">
        <v>14</v>
      </c>
      <c r="B214">
        <v>0</v>
      </c>
      <c r="F214">
        <v>0</v>
      </c>
      <c r="J214">
        <v>0</v>
      </c>
      <c r="N214">
        <v>0</v>
      </c>
      <c r="R214">
        <v>0</v>
      </c>
      <c r="V214">
        <v>0</v>
      </c>
      <c r="Z214">
        <v>0</v>
      </c>
      <c r="AD214">
        <v>0</v>
      </c>
      <c r="AH214">
        <v>0</v>
      </c>
      <c r="AL214">
        <v>0</v>
      </c>
      <c r="AP214">
        <v>0</v>
      </c>
      <c r="AT214">
        <v>0</v>
      </c>
      <c r="AX214">
        <v>0</v>
      </c>
      <c r="BB214">
        <v>0</v>
      </c>
      <c r="BF214">
        <v>0</v>
      </c>
      <c r="BJ214">
        <v>0</v>
      </c>
      <c r="BN214">
        <v>0</v>
      </c>
      <c r="BR214">
        <v>0</v>
      </c>
      <c r="BV214">
        <v>0</v>
      </c>
      <c r="BZ214">
        <v>0</v>
      </c>
      <c r="CD214">
        <v>0</v>
      </c>
      <c r="CH214">
        <v>0</v>
      </c>
      <c r="CL214">
        <v>0</v>
      </c>
    </row>
    <row r="215" spans="1:92" hidden="1" x14ac:dyDescent="0.25">
      <c r="A215" s="8" t="s">
        <v>15</v>
      </c>
      <c r="B215">
        <v>0</v>
      </c>
      <c r="F215">
        <v>0</v>
      </c>
      <c r="J215">
        <v>0</v>
      </c>
      <c r="N215">
        <v>0</v>
      </c>
      <c r="R215">
        <v>0</v>
      </c>
      <c r="V215">
        <v>0</v>
      </c>
      <c r="Z215">
        <v>0</v>
      </c>
      <c r="AD215">
        <v>0</v>
      </c>
      <c r="AH215">
        <v>0</v>
      </c>
      <c r="AL215">
        <v>0</v>
      </c>
      <c r="AP215">
        <v>0</v>
      </c>
      <c r="AT215">
        <v>0</v>
      </c>
      <c r="AX215">
        <v>0</v>
      </c>
      <c r="BB215">
        <v>0</v>
      </c>
      <c r="BF215">
        <v>0</v>
      </c>
      <c r="BJ215">
        <v>0</v>
      </c>
      <c r="BN215">
        <v>0</v>
      </c>
      <c r="BR215">
        <v>0</v>
      </c>
      <c r="BV215">
        <v>0</v>
      </c>
      <c r="BZ215">
        <v>0</v>
      </c>
      <c r="CD215">
        <v>0</v>
      </c>
      <c r="CH215">
        <v>0</v>
      </c>
      <c r="CL215">
        <v>0</v>
      </c>
    </row>
    <row r="217" spans="1:92" x14ac:dyDescent="0.25">
      <c r="AN217" s="2" t="s">
        <v>5</v>
      </c>
      <c r="AR217" s="2" t="s">
        <v>6</v>
      </c>
      <c r="AV217" s="2" t="s">
        <v>7</v>
      </c>
      <c r="AZ217" s="2" t="s">
        <v>8</v>
      </c>
      <c r="BD217" s="2" t="s">
        <v>5</v>
      </c>
      <c r="BH217" s="2" t="s">
        <v>6</v>
      </c>
      <c r="BL217" s="2" t="s">
        <v>7</v>
      </c>
      <c r="BP217" s="2" t="s">
        <v>5</v>
      </c>
      <c r="BT217" s="2" t="s">
        <v>6</v>
      </c>
      <c r="BX217" s="2" t="s">
        <v>7</v>
      </c>
      <c r="CB217" s="2" t="s">
        <v>5</v>
      </c>
      <c r="CF217" s="2" t="s">
        <v>6</v>
      </c>
      <c r="CJ217" s="2" t="s">
        <v>7</v>
      </c>
      <c r="CN217" s="2" t="s">
        <v>8</v>
      </c>
    </row>
    <row r="218" spans="1:92" s="3" customFormat="1" x14ac:dyDescent="0.25">
      <c r="A218" s="3" t="s">
        <v>2144</v>
      </c>
      <c r="D218" s="4" t="s">
        <v>10</v>
      </c>
      <c r="H218" s="4" t="s">
        <v>10</v>
      </c>
      <c r="L218" s="4" t="s">
        <v>10</v>
      </c>
      <c r="P218" s="4" t="s">
        <v>10</v>
      </c>
      <c r="T218" s="4" t="s">
        <v>10</v>
      </c>
      <c r="X218" s="4" t="s">
        <v>10</v>
      </c>
      <c r="AB218" s="4" t="s">
        <v>10</v>
      </c>
      <c r="AF218" s="4" t="s">
        <v>10</v>
      </c>
      <c r="AJ218" s="4" t="s">
        <v>10</v>
      </c>
      <c r="AN218" s="4" t="s">
        <v>10</v>
      </c>
      <c r="AR218" s="4" t="s">
        <v>10</v>
      </c>
      <c r="AV218" s="4" t="s">
        <v>10</v>
      </c>
      <c r="AZ218" s="4" t="s">
        <v>10</v>
      </c>
      <c r="BD218" s="4" t="s">
        <v>10</v>
      </c>
      <c r="BH218" s="4" t="s">
        <v>10</v>
      </c>
      <c r="BL218" s="4" t="s">
        <v>10</v>
      </c>
      <c r="BP218" s="4" t="s">
        <v>10</v>
      </c>
      <c r="BT218" s="4" t="s">
        <v>10</v>
      </c>
      <c r="BX218" s="4" t="s">
        <v>10</v>
      </c>
      <c r="CB218" s="4" t="s">
        <v>10</v>
      </c>
      <c r="CF218" s="4" t="s">
        <v>10</v>
      </c>
      <c r="CJ218" s="4" t="s">
        <v>10</v>
      </c>
      <c r="CN218" s="4" t="s">
        <v>10</v>
      </c>
    </row>
    <row r="219" spans="1:92" x14ac:dyDescent="0.25">
      <c r="A219" s="1" t="s">
        <v>48</v>
      </c>
      <c r="B219">
        <v>35</v>
      </c>
      <c r="C219" s="5">
        <f>B219/B227</f>
        <v>3.5000000000000003E-2</v>
      </c>
      <c r="D219" s="5">
        <f>35/$D$3</f>
        <v>3.5000000000000003E-2</v>
      </c>
      <c r="F219">
        <v>25</v>
      </c>
      <c r="G219" s="5">
        <f>F219/F227</f>
        <v>5.2966101694915252E-2</v>
      </c>
      <c r="H219" s="5">
        <f>25/$H$3</f>
        <v>5.2966101694915252E-2</v>
      </c>
      <c r="J219">
        <v>29</v>
      </c>
      <c r="K219" s="5">
        <f>J219/J227</f>
        <v>0.10175438596491228</v>
      </c>
      <c r="L219" s="5">
        <f>29/$L$3</f>
        <v>0.10175438596491228</v>
      </c>
      <c r="N219">
        <v>13</v>
      </c>
      <c r="O219" s="5">
        <f>N219/N227</f>
        <v>5.6034482758620691E-2</v>
      </c>
      <c r="P219" s="5">
        <f>13/$P$3</f>
        <v>5.6034482758620691E-2</v>
      </c>
      <c r="R219">
        <v>21</v>
      </c>
      <c r="S219" s="5">
        <f>R219/R227</f>
        <v>7.1428571428571425E-2</v>
      </c>
      <c r="T219" s="5">
        <f>21/$T$3</f>
        <v>7.1428571428571425E-2</v>
      </c>
      <c r="V219">
        <v>25</v>
      </c>
      <c r="W219" s="5">
        <f>V219/V227</f>
        <v>6.0096153846153848E-2</v>
      </c>
      <c r="X219" s="5">
        <f>25/$X$3</f>
        <v>6.0096153846153848E-2</v>
      </c>
      <c r="Z219">
        <v>23</v>
      </c>
      <c r="AA219" s="5">
        <f>Z219/Z227</f>
        <v>5.4761904761904762E-2</v>
      </c>
      <c r="AB219" s="5">
        <f>23/$AB$3</f>
        <v>5.4761904761904762E-2</v>
      </c>
      <c r="AD219">
        <v>17</v>
      </c>
      <c r="AE219" s="5">
        <f>AD219/AD227</f>
        <v>3.4000000000000002E-2</v>
      </c>
      <c r="AF219" s="5">
        <f>17/$AF$3</f>
        <v>3.4000000000000002E-2</v>
      </c>
      <c r="AH219">
        <v>18</v>
      </c>
      <c r="AI219" s="5">
        <f>AH219/AH227</f>
        <v>3.5999999999999997E-2</v>
      </c>
      <c r="AJ219" s="5">
        <f>18/$AJ$3</f>
        <v>3.5999999999999997E-2</v>
      </c>
      <c r="AL219">
        <v>11</v>
      </c>
      <c r="AM219" s="5">
        <f>AL219/AL227</f>
        <v>6.5088757396449703E-2</v>
      </c>
      <c r="AN219" s="5">
        <f>11/$AN$3</f>
        <v>6.5088757396449703E-2</v>
      </c>
      <c r="AO219" s="12"/>
      <c r="AP219">
        <v>18</v>
      </c>
      <c r="AQ219" s="5">
        <f>AP219/AP227</f>
        <v>5.7877813504823149E-2</v>
      </c>
      <c r="AR219" s="5">
        <f>18/$AR$3</f>
        <v>5.7877813504823149E-2</v>
      </c>
      <c r="AS219" s="12"/>
      <c r="AT219">
        <v>3</v>
      </c>
      <c r="AU219" s="5">
        <f>AT219/AT227</f>
        <v>7.6923076923076927E-3</v>
      </c>
      <c r="AV219" s="5">
        <f>3/$AV$3</f>
        <v>7.6923076923076927E-3</v>
      </c>
      <c r="AX219">
        <v>3</v>
      </c>
      <c r="AY219" s="5">
        <f>AX219/AX227</f>
        <v>2.3076923076923078E-2</v>
      </c>
      <c r="AZ219" s="5">
        <f>3/$AZ$3</f>
        <v>2.3076923076923078E-2</v>
      </c>
      <c r="BB219">
        <v>17</v>
      </c>
      <c r="BC219" s="5">
        <f>BB219/BB227</f>
        <v>4.1871921182266007E-2</v>
      </c>
      <c r="BD219" s="5">
        <f>17/$BD$3</f>
        <v>4.1871921182266007E-2</v>
      </c>
      <c r="BF219">
        <v>10</v>
      </c>
      <c r="BG219" s="5">
        <f>BF219/BF227</f>
        <v>2.6881720430107527E-2</v>
      </c>
      <c r="BH219" s="5">
        <f>10/$BH$3</f>
        <v>2.6881720430107527E-2</v>
      </c>
      <c r="BJ219">
        <v>8</v>
      </c>
      <c r="BK219" s="5">
        <f>BJ219/BJ227</f>
        <v>3.6036036036036036E-2</v>
      </c>
      <c r="BL219" s="5">
        <f>8/$BL$3</f>
        <v>3.6036036036036036E-2</v>
      </c>
      <c r="BN219">
        <v>14</v>
      </c>
      <c r="BO219" s="5">
        <f>BN219/BN227</f>
        <v>3.6842105263157891E-2</v>
      </c>
      <c r="BP219" s="5">
        <f>14/$BP$3</f>
        <v>3.6842105263157891E-2</v>
      </c>
      <c r="BR219">
        <v>10</v>
      </c>
      <c r="BS219" s="5">
        <f>BR219/BR227</f>
        <v>2.7027027027027029E-2</v>
      </c>
      <c r="BT219" s="5">
        <f>10/$BT$3</f>
        <v>2.7027027027027029E-2</v>
      </c>
      <c r="BV219">
        <v>11</v>
      </c>
      <c r="BW219" s="5">
        <f>BV219/BV227</f>
        <v>4.3999999999999997E-2</v>
      </c>
      <c r="BX219" s="5">
        <f>11/$BX$3</f>
        <v>4.3999999999999997E-2</v>
      </c>
      <c r="BZ219">
        <v>8</v>
      </c>
      <c r="CA219" s="5">
        <f>BZ219/BZ227</f>
        <v>3.2000000000000001E-2</v>
      </c>
      <c r="CB219" s="5">
        <f>8/$CB$3</f>
        <v>3.2000000000000001E-2</v>
      </c>
      <c r="CD219">
        <v>8</v>
      </c>
      <c r="CE219" s="5">
        <f>CD219/CD227</f>
        <v>3.8095238095238099E-2</v>
      </c>
      <c r="CF219" s="5">
        <f>8/$CF$3</f>
        <v>3.8095238095238099E-2</v>
      </c>
      <c r="CH219">
        <v>5</v>
      </c>
      <c r="CI219" s="5">
        <f>CH219/CH227</f>
        <v>2.2727272727272728E-2</v>
      </c>
      <c r="CJ219" s="5">
        <f>5/$CJ$3</f>
        <v>2.2727272727272728E-2</v>
      </c>
      <c r="CL219">
        <v>14</v>
      </c>
      <c r="CM219" s="5">
        <f>CL219/CL227</f>
        <v>4.3749999999999997E-2</v>
      </c>
      <c r="CN219" s="5">
        <f>14/$CN$3</f>
        <v>4.3749999999999997E-2</v>
      </c>
    </row>
    <row r="220" spans="1:92" x14ac:dyDescent="0.25">
      <c r="A220" s="1" t="s">
        <v>1063</v>
      </c>
      <c r="B220">
        <v>186</v>
      </c>
      <c r="C220" s="5">
        <f>B220/B227</f>
        <v>0.186</v>
      </c>
      <c r="D220" s="5">
        <f>186/$D$3</f>
        <v>0.186</v>
      </c>
      <c r="F220">
        <v>105</v>
      </c>
      <c r="G220" s="5">
        <f>F220/F227</f>
        <v>0.22245762711864406</v>
      </c>
      <c r="H220" s="5">
        <f>105/$H$3</f>
        <v>0.22245762711864406</v>
      </c>
      <c r="J220">
        <v>60</v>
      </c>
      <c r="K220" s="5">
        <f>J220/J227</f>
        <v>0.21052631578947367</v>
      </c>
      <c r="L220" s="5">
        <f>60/$L$3</f>
        <v>0.21052631578947367</v>
      </c>
      <c r="N220">
        <v>51</v>
      </c>
      <c r="O220" s="5">
        <f>N220/N227</f>
        <v>0.21982758620689655</v>
      </c>
      <c r="P220" s="5">
        <f>51/$P$3</f>
        <v>0.21982758620689655</v>
      </c>
      <c r="R220">
        <v>88</v>
      </c>
      <c r="S220" s="5">
        <f>R220/R227</f>
        <v>0.29931972789115646</v>
      </c>
      <c r="T220" s="10">
        <f>88/$T$3</f>
        <v>0.29931972789115646</v>
      </c>
      <c r="V220">
        <v>100</v>
      </c>
      <c r="W220" s="5">
        <f>V220/V227</f>
        <v>0.24038461538461539</v>
      </c>
      <c r="X220" s="10">
        <f>100/$X$3</f>
        <v>0.24038461538461539</v>
      </c>
      <c r="Z220">
        <v>97</v>
      </c>
      <c r="AA220" s="5">
        <f>Z220/Z227</f>
        <v>0.23095238095238096</v>
      </c>
      <c r="AB220" s="5">
        <f>97/$AB$3</f>
        <v>0.23095238095238096</v>
      </c>
      <c r="AD220">
        <v>86</v>
      </c>
      <c r="AE220" s="5">
        <f>AD220/AD227</f>
        <v>0.17199999999999999</v>
      </c>
      <c r="AF220" s="5">
        <f>86/$AF$3</f>
        <v>0.17199999999999999</v>
      </c>
      <c r="AH220">
        <v>100</v>
      </c>
      <c r="AI220" s="5">
        <f>AH220/AH227</f>
        <v>0.2</v>
      </c>
      <c r="AJ220" s="5">
        <f>100/$AJ$3</f>
        <v>0.2</v>
      </c>
      <c r="AL220">
        <v>53</v>
      </c>
      <c r="AM220" s="5">
        <f>AL220/AL227</f>
        <v>0.31360946745562129</v>
      </c>
      <c r="AN220" s="10">
        <f>53/$AN$3</f>
        <v>0.31360946745562129</v>
      </c>
      <c r="AO220" s="12"/>
      <c r="AP220">
        <v>55</v>
      </c>
      <c r="AQ220" s="5">
        <f>AP220/AP227</f>
        <v>0.17684887459807075</v>
      </c>
      <c r="AR220" s="5">
        <f>55/$AR$3</f>
        <v>0.17684887459807075</v>
      </c>
      <c r="AT220">
        <v>57</v>
      </c>
      <c r="AU220" s="5">
        <f>AT220/AT227</f>
        <v>0.14615384615384616</v>
      </c>
      <c r="AV220" s="5">
        <f>57/$AV$3</f>
        <v>0.14615384615384616</v>
      </c>
      <c r="AX220">
        <v>21</v>
      </c>
      <c r="AY220" s="5">
        <f>AX220/AX227</f>
        <v>0.16153846153846155</v>
      </c>
      <c r="AZ220" s="5">
        <f>21/$AZ$3</f>
        <v>0.16153846153846155</v>
      </c>
      <c r="BB220">
        <v>89</v>
      </c>
      <c r="BC220" s="5">
        <f>BB220/BB227</f>
        <v>0.21921182266009853</v>
      </c>
      <c r="BD220" s="5">
        <f>89/$BD$3</f>
        <v>0.21921182266009853</v>
      </c>
      <c r="BF220">
        <v>62</v>
      </c>
      <c r="BG220" s="5">
        <f>BF220/BF227</f>
        <v>0.16666666666666666</v>
      </c>
      <c r="BH220" s="5">
        <f>62/$BH$3</f>
        <v>0.16666666666666666</v>
      </c>
      <c r="BJ220">
        <v>35</v>
      </c>
      <c r="BK220" s="5">
        <f>BJ220/BJ227</f>
        <v>0.15765765765765766</v>
      </c>
      <c r="BL220" s="5">
        <f>35/$BL$3</f>
        <v>0.15765765765765766</v>
      </c>
      <c r="BN220">
        <v>72</v>
      </c>
      <c r="BO220" s="5">
        <f>BN220/BN227</f>
        <v>0.18947368421052632</v>
      </c>
      <c r="BP220" s="5">
        <f>72/$BP$3</f>
        <v>0.18947368421052632</v>
      </c>
      <c r="BR220">
        <v>66</v>
      </c>
      <c r="BS220" s="5">
        <f>BR220/BR227</f>
        <v>0.17837837837837839</v>
      </c>
      <c r="BT220" s="5">
        <f>66/$BT$3</f>
        <v>0.17837837837837839</v>
      </c>
      <c r="BV220">
        <v>48</v>
      </c>
      <c r="BW220" s="5">
        <f>BV220/BV227</f>
        <v>0.192</v>
      </c>
      <c r="BX220" s="5">
        <f>48/$BX$3</f>
        <v>0.192</v>
      </c>
      <c r="BZ220">
        <v>36</v>
      </c>
      <c r="CA220" s="5">
        <f>BZ220/BZ227</f>
        <v>0.14399999999999999</v>
      </c>
      <c r="CB220" s="5">
        <f>36/$CB$3</f>
        <v>0.14399999999999999</v>
      </c>
      <c r="CD220">
        <v>43</v>
      </c>
      <c r="CE220" s="5">
        <f>CD220/CD227</f>
        <v>0.20476190476190476</v>
      </c>
      <c r="CF220" s="5">
        <f>43/$CF$3</f>
        <v>0.20476190476190476</v>
      </c>
      <c r="CH220">
        <v>52</v>
      </c>
      <c r="CI220" s="5">
        <f>CH220/CH227</f>
        <v>0.23636363636363636</v>
      </c>
      <c r="CJ220" s="10">
        <f>52/$CJ$3</f>
        <v>0.23636363636363636</v>
      </c>
      <c r="CL220">
        <v>55</v>
      </c>
      <c r="CM220" s="5">
        <f>CL220/CL227</f>
        <v>0.171875</v>
      </c>
      <c r="CN220" s="5">
        <f>55/$CN$3</f>
        <v>0.171875</v>
      </c>
    </row>
    <row r="221" spans="1:92" x14ac:dyDescent="0.25">
      <c r="A221" s="1" t="s">
        <v>2145</v>
      </c>
      <c r="B221">
        <v>44</v>
      </c>
      <c r="C221" s="5">
        <f>B221/B227</f>
        <v>4.3999999999999997E-2</v>
      </c>
      <c r="D221" s="5">
        <f>44/$D$3</f>
        <v>4.3999999999999997E-2</v>
      </c>
      <c r="F221">
        <v>21</v>
      </c>
      <c r="G221" s="5">
        <f>F221/F227</f>
        <v>4.4491525423728813E-2</v>
      </c>
      <c r="H221" s="5">
        <f>21/$H$3</f>
        <v>4.4491525423728813E-2</v>
      </c>
      <c r="J221">
        <v>15</v>
      </c>
      <c r="K221" s="5">
        <f>J221/J227</f>
        <v>5.2631578947368418E-2</v>
      </c>
      <c r="L221" s="5">
        <f>15/$L$3</f>
        <v>5.2631578947368418E-2</v>
      </c>
      <c r="N221">
        <v>12</v>
      </c>
      <c r="O221" s="5">
        <f>N221/N227</f>
        <v>5.1724137931034482E-2</v>
      </c>
      <c r="P221" s="5">
        <f>12/$P$3</f>
        <v>5.1724137931034482E-2</v>
      </c>
      <c r="R221">
        <v>15</v>
      </c>
      <c r="S221" s="5">
        <f>R221/R227</f>
        <v>5.1020408163265307E-2</v>
      </c>
      <c r="T221" s="5">
        <f>15/$T$3</f>
        <v>5.1020408163265307E-2</v>
      </c>
      <c r="V221">
        <v>18</v>
      </c>
      <c r="W221" s="5">
        <f>V221/V227</f>
        <v>4.3269230769230768E-2</v>
      </c>
      <c r="X221" s="5">
        <f>18/$X$3</f>
        <v>4.3269230769230768E-2</v>
      </c>
      <c r="Z221">
        <v>20</v>
      </c>
      <c r="AA221" s="5">
        <f>Z221/Z227</f>
        <v>4.7619047619047616E-2</v>
      </c>
      <c r="AB221" s="5">
        <f>20/$AB$3</f>
        <v>4.7619047619047616E-2</v>
      </c>
      <c r="AD221">
        <v>25</v>
      </c>
      <c r="AE221" s="5">
        <f>AD221/AD227</f>
        <v>0.05</v>
      </c>
      <c r="AF221" s="5">
        <f>25/$AF$3</f>
        <v>0.05</v>
      </c>
      <c r="AH221">
        <v>19</v>
      </c>
      <c r="AI221" s="5">
        <f>AH221/AH227</f>
        <v>3.7999999999999999E-2</v>
      </c>
      <c r="AJ221" s="5">
        <f>19/$AJ$3</f>
        <v>3.7999999999999999E-2</v>
      </c>
      <c r="AL221">
        <v>3</v>
      </c>
      <c r="AM221" s="5">
        <f>AL221/AL227</f>
        <v>1.7751479289940829E-2</v>
      </c>
      <c r="AN221" s="5">
        <f>3/$AN$3</f>
        <v>1.7751479289940829E-2</v>
      </c>
      <c r="AP221">
        <v>14</v>
      </c>
      <c r="AQ221" s="5">
        <f>AP221/AP227</f>
        <v>4.5016077170418008E-2</v>
      </c>
      <c r="AR221" s="5">
        <f>14/$AR$3</f>
        <v>4.5016077170418008E-2</v>
      </c>
      <c r="AT221">
        <v>20</v>
      </c>
      <c r="AU221" s="5">
        <f>AT221/AT227</f>
        <v>5.128205128205128E-2</v>
      </c>
      <c r="AV221" s="5">
        <f>20/$AV$3</f>
        <v>5.128205128205128E-2</v>
      </c>
      <c r="AX221">
        <v>7</v>
      </c>
      <c r="AY221" s="5">
        <f>AX221/AX227</f>
        <v>5.3846153846153849E-2</v>
      </c>
      <c r="AZ221" s="5">
        <f>7/$AZ$3</f>
        <v>5.3846153846153849E-2</v>
      </c>
      <c r="BB221">
        <v>20</v>
      </c>
      <c r="BC221" s="5">
        <f>BB221/BB227</f>
        <v>4.9261083743842367E-2</v>
      </c>
      <c r="BD221" s="5">
        <f>20/$BD$3</f>
        <v>4.9261083743842367E-2</v>
      </c>
      <c r="BF221">
        <v>18</v>
      </c>
      <c r="BG221" s="5">
        <f>BF221/BF227</f>
        <v>4.8387096774193547E-2</v>
      </c>
      <c r="BH221" s="5">
        <f>18/$BH$3</f>
        <v>4.8387096774193547E-2</v>
      </c>
      <c r="BJ221">
        <v>6</v>
      </c>
      <c r="BK221" s="5">
        <f>BJ221/BJ227</f>
        <v>2.7027027027027029E-2</v>
      </c>
      <c r="BL221" s="5">
        <f>6/$BL$3</f>
        <v>2.7027027027027029E-2</v>
      </c>
      <c r="BN221">
        <v>19</v>
      </c>
      <c r="BO221" s="5">
        <f>BN221/BN227</f>
        <v>0.05</v>
      </c>
      <c r="BP221" s="5">
        <f>19/$BP$3</f>
        <v>0.05</v>
      </c>
      <c r="BR221">
        <v>13</v>
      </c>
      <c r="BS221" s="5">
        <f>BR221/BR227</f>
        <v>3.5135135135135137E-2</v>
      </c>
      <c r="BT221" s="5">
        <f>13/$BT$3</f>
        <v>3.5135135135135137E-2</v>
      </c>
      <c r="BV221">
        <v>12</v>
      </c>
      <c r="BW221" s="5">
        <f>BV221/BV227</f>
        <v>4.8000000000000001E-2</v>
      </c>
      <c r="BX221" s="5">
        <f>12/$BX$3</f>
        <v>4.8000000000000001E-2</v>
      </c>
      <c r="BZ221">
        <v>9</v>
      </c>
      <c r="CA221" s="5">
        <f>BZ221/BZ227</f>
        <v>3.5999999999999997E-2</v>
      </c>
      <c r="CB221" s="5">
        <f>9/$CB$3</f>
        <v>3.5999999999999997E-2</v>
      </c>
      <c r="CD221">
        <v>11</v>
      </c>
      <c r="CE221" s="5">
        <f>CD221/CD227</f>
        <v>5.2380952380952382E-2</v>
      </c>
      <c r="CF221" s="5">
        <f>11/$CF$3</f>
        <v>5.2380952380952382E-2</v>
      </c>
      <c r="CH221">
        <v>11</v>
      </c>
      <c r="CI221" s="5">
        <f>CH221/CH227</f>
        <v>0.05</v>
      </c>
      <c r="CJ221" s="5">
        <f>11/$CJ$3</f>
        <v>0.05</v>
      </c>
      <c r="CL221">
        <v>13</v>
      </c>
      <c r="CM221" s="5">
        <f>CL221/CL227</f>
        <v>4.0625000000000001E-2</v>
      </c>
      <c r="CN221" s="5">
        <f>13/$CN$3</f>
        <v>4.0625000000000001E-2</v>
      </c>
    </row>
    <row r="222" spans="1:92" x14ac:dyDescent="0.25">
      <c r="A222" s="1" t="s">
        <v>2146</v>
      </c>
      <c r="B222">
        <v>91</v>
      </c>
      <c r="C222" s="5">
        <f>B222/B227</f>
        <v>9.0999999999999998E-2</v>
      </c>
      <c r="D222" s="5">
        <f>91/$D$3</f>
        <v>9.0999999999999998E-2</v>
      </c>
      <c r="F222">
        <v>52</v>
      </c>
      <c r="G222" s="5">
        <f>F222/F227</f>
        <v>0.11016949152542373</v>
      </c>
      <c r="H222" s="5">
        <f>52/$H$3</f>
        <v>0.11016949152542373</v>
      </c>
      <c r="J222">
        <v>36</v>
      </c>
      <c r="K222" s="5">
        <f>J222/J227</f>
        <v>0.12631578947368421</v>
      </c>
      <c r="L222" s="5">
        <f>36/$L$3</f>
        <v>0.12631578947368421</v>
      </c>
      <c r="N222">
        <v>33</v>
      </c>
      <c r="O222" s="5">
        <f>N222/N227</f>
        <v>0.14224137931034483</v>
      </c>
      <c r="P222" s="10">
        <f>33/$P$3</f>
        <v>0.14224137931034483</v>
      </c>
      <c r="R222">
        <v>40</v>
      </c>
      <c r="S222" s="5">
        <f>R222/R227</f>
        <v>0.1360544217687075</v>
      </c>
      <c r="T222" s="5">
        <f>40/$T$3</f>
        <v>0.1360544217687075</v>
      </c>
      <c r="V222">
        <v>47</v>
      </c>
      <c r="W222" s="5">
        <f>V222/V227</f>
        <v>0.11298076923076923</v>
      </c>
      <c r="X222" s="5">
        <f>47/$X$3</f>
        <v>0.11298076923076923</v>
      </c>
      <c r="Z222">
        <v>50</v>
      </c>
      <c r="AA222" s="5">
        <f>Z222/Z227</f>
        <v>0.11904761904761904</v>
      </c>
      <c r="AB222" s="5">
        <f>50/$AB$3</f>
        <v>0.11904761904761904</v>
      </c>
      <c r="AD222">
        <v>48</v>
      </c>
      <c r="AE222" s="5">
        <f>AD222/AD227</f>
        <v>9.6000000000000002E-2</v>
      </c>
      <c r="AF222" s="5">
        <f>48/$AF$3</f>
        <v>9.6000000000000002E-2</v>
      </c>
      <c r="AH222">
        <v>43</v>
      </c>
      <c r="AI222" s="5">
        <f>AH222/AH227</f>
        <v>8.5999999999999993E-2</v>
      </c>
      <c r="AJ222" s="5">
        <f>43/$AJ$3</f>
        <v>8.5999999999999993E-2</v>
      </c>
      <c r="AL222">
        <v>22</v>
      </c>
      <c r="AM222" s="5">
        <f>AL222/AL227</f>
        <v>0.13017751479289941</v>
      </c>
      <c r="AN222" s="5">
        <f>22/$AN$3</f>
        <v>0.13017751479289941</v>
      </c>
      <c r="AP222">
        <v>26</v>
      </c>
      <c r="AQ222" s="5">
        <f>AP222/AP227</f>
        <v>8.3601286173633438E-2</v>
      </c>
      <c r="AR222" s="5">
        <f>26/$AR$3</f>
        <v>8.3601286173633438E-2</v>
      </c>
      <c r="AT222">
        <v>36</v>
      </c>
      <c r="AU222" s="5">
        <f>AT222/AT227</f>
        <v>9.2307692307692313E-2</v>
      </c>
      <c r="AV222" s="5">
        <f>36/$AV$3</f>
        <v>9.2307692307692313E-2</v>
      </c>
      <c r="AX222">
        <v>7</v>
      </c>
      <c r="AY222" s="5">
        <f>AX222/AX227</f>
        <v>5.3846153846153849E-2</v>
      </c>
      <c r="AZ222" s="5">
        <f>7/$AZ$3</f>
        <v>5.3846153846153849E-2</v>
      </c>
      <c r="BB222">
        <v>37</v>
      </c>
      <c r="BC222" s="5">
        <f>BB222/BB227</f>
        <v>9.1133004926108374E-2</v>
      </c>
      <c r="BD222" s="5">
        <f>37/$BD$3</f>
        <v>9.1133004926108374E-2</v>
      </c>
      <c r="BF222">
        <v>31</v>
      </c>
      <c r="BG222" s="5">
        <f>BF222/BF227</f>
        <v>8.3333333333333329E-2</v>
      </c>
      <c r="BH222" s="5">
        <f>31/$BH$3</f>
        <v>8.3333333333333329E-2</v>
      </c>
      <c r="BJ222">
        <v>23</v>
      </c>
      <c r="BK222" s="5">
        <f>BJ222/BJ227</f>
        <v>0.1036036036036036</v>
      </c>
      <c r="BL222" s="5">
        <f>23/$BL$3</f>
        <v>0.1036036036036036</v>
      </c>
      <c r="BN222">
        <v>35</v>
      </c>
      <c r="BO222" s="5">
        <f>BN222/BN227</f>
        <v>9.2105263157894732E-2</v>
      </c>
      <c r="BP222" s="5">
        <f>35/$BP$3</f>
        <v>9.2105263157894732E-2</v>
      </c>
      <c r="BR222">
        <v>30</v>
      </c>
      <c r="BS222" s="5">
        <f>BR222/BR227</f>
        <v>8.1081081081081086E-2</v>
      </c>
      <c r="BT222" s="5">
        <f>30/$BT$3</f>
        <v>8.1081081081081086E-2</v>
      </c>
      <c r="BV222">
        <v>26</v>
      </c>
      <c r="BW222" s="5">
        <f>BV222/BV227</f>
        <v>0.104</v>
      </c>
      <c r="BX222" s="5">
        <f>26/$BX$3</f>
        <v>0.104</v>
      </c>
      <c r="BZ222">
        <v>22</v>
      </c>
      <c r="CA222" s="5">
        <f>BZ222/BZ227</f>
        <v>8.7999999999999995E-2</v>
      </c>
      <c r="CB222" s="5">
        <f>22/$CB$3</f>
        <v>8.7999999999999995E-2</v>
      </c>
      <c r="CD222">
        <v>19</v>
      </c>
      <c r="CE222" s="5">
        <f>CD222/CD227</f>
        <v>9.0476190476190474E-2</v>
      </c>
      <c r="CF222" s="5">
        <f>19/$CF$3</f>
        <v>9.0476190476190474E-2</v>
      </c>
      <c r="CH222">
        <v>20</v>
      </c>
      <c r="CI222" s="5">
        <f>CH222/CH227</f>
        <v>9.0909090909090912E-2</v>
      </c>
      <c r="CJ222" s="5">
        <f>20/$CJ$3</f>
        <v>9.0909090909090912E-2</v>
      </c>
      <c r="CL222">
        <v>30</v>
      </c>
      <c r="CM222" s="5">
        <f>CL222/CL227</f>
        <v>9.375E-2</v>
      </c>
      <c r="CN222" s="5">
        <f>30/$CN$3</f>
        <v>9.375E-2</v>
      </c>
    </row>
    <row r="223" spans="1:92" x14ac:dyDescent="0.25">
      <c r="A223" s="1" t="s">
        <v>2147</v>
      </c>
      <c r="B223">
        <v>56</v>
      </c>
      <c r="C223" s="5">
        <f>B223/B227</f>
        <v>5.6000000000000001E-2</v>
      </c>
      <c r="D223" s="5">
        <f>56/$D$3</f>
        <v>5.6000000000000001E-2</v>
      </c>
      <c r="F223">
        <v>32</v>
      </c>
      <c r="G223" s="5">
        <f>F223/F227</f>
        <v>6.7796610169491525E-2</v>
      </c>
      <c r="H223" s="5">
        <f>32/$H$3</f>
        <v>6.7796610169491525E-2</v>
      </c>
      <c r="J223">
        <v>21</v>
      </c>
      <c r="K223" s="5">
        <f>J223/J227</f>
        <v>7.3684210526315783E-2</v>
      </c>
      <c r="L223" s="5">
        <f>21/$L$3</f>
        <v>7.3684210526315783E-2</v>
      </c>
      <c r="N223">
        <v>18</v>
      </c>
      <c r="O223" s="5">
        <f>N223/N227</f>
        <v>7.7586206896551727E-2</v>
      </c>
      <c r="P223" s="5">
        <f>18/$P$3</f>
        <v>7.7586206896551727E-2</v>
      </c>
      <c r="R223">
        <v>19</v>
      </c>
      <c r="S223" s="5">
        <f>R223/R227</f>
        <v>6.4625850340136057E-2</v>
      </c>
      <c r="T223" s="5">
        <f>19/$T$3</f>
        <v>6.4625850340136057E-2</v>
      </c>
      <c r="V223">
        <v>28</v>
      </c>
      <c r="W223" s="5">
        <f>V223/V227</f>
        <v>6.7307692307692304E-2</v>
      </c>
      <c r="X223" s="5">
        <f>28/$X$3</f>
        <v>6.7307692307692304E-2</v>
      </c>
      <c r="Z223">
        <v>27</v>
      </c>
      <c r="AA223" s="5">
        <f>Z223/Z227</f>
        <v>6.4285714285714279E-2</v>
      </c>
      <c r="AB223" s="5">
        <f>27/$AB$3</f>
        <v>6.4285714285714279E-2</v>
      </c>
      <c r="AD223">
        <v>23</v>
      </c>
      <c r="AE223" s="5">
        <f>AD223/AD227</f>
        <v>4.5999999999999999E-2</v>
      </c>
      <c r="AF223" s="5">
        <f>23/$AF$3</f>
        <v>4.5999999999999999E-2</v>
      </c>
      <c r="AH223">
        <v>33</v>
      </c>
      <c r="AI223" s="5">
        <f>AH223/AH227</f>
        <v>6.6000000000000003E-2</v>
      </c>
      <c r="AJ223" s="5">
        <f>33/$AJ$3</f>
        <v>6.6000000000000003E-2</v>
      </c>
      <c r="AL223">
        <v>10</v>
      </c>
      <c r="AM223" s="5">
        <f>AL223/AL227</f>
        <v>5.9171597633136092E-2</v>
      </c>
      <c r="AN223" s="5">
        <f>10/$AN$3</f>
        <v>5.9171597633136092E-2</v>
      </c>
      <c r="AP223">
        <v>21</v>
      </c>
      <c r="AQ223" s="5">
        <f>AP223/AP227</f>
        <v>6.7524115755627015E-2</v>
      </c>
      <c r="AR223" s="5">
        <f>21/$AR$3</f>
        <v>6.7524115755627015E-2</v>
      </c>
      <c r="AT223">
        <v>20</v>
      </c>
      <c r="AU223" s="5">
        <f>AT223/AT227</f>
        <v>5.128205128205128E-2</v>
      </c>
      <c r="AV223" s="5">
        <f>20/$AV$3</f>
        <v>5.128205128205128E-2</v>
      </c>
      <c r="AX223">
        <v>5</v>
      </c>
      <c r="AY223" s="5">
        <f>AX223/AX227</f>
        <v>3.8461538461538464E-2</v>
      </c>
      <c r="AZ223" s="5">
        <f>5/$AZ$3</f>
        <v>3.8461538461538464E-2</v>
      </c>
      <c r="BB223">
        <v>25</v>
      </c>
      <c r="BC223" s="5">
        <f>BB223/BB227</f>
        <v>6.1576354679802957E-2</v>
      </c>
      <c r="BD223" s="5">
        <f>25/$BD$3</f>
        <v>6.1576354679802957E-2</v>
      </c>
      <c r="BF223">
        <v>19</v>
      </c>
      <c r="BG223" s="5">
        <f>BF223/BF227</f>
        <v>5.1075268817204304E-2</v>
      </c>
      <c r="BH223" s="5">
        <f>19/$BH$3</f>
        <v>5.1075268817204304E-2</v>
      </c>
      <c r="BJ223">
        <v>12</v>
      </c>
      <c r="BK223" s="5">
        <f>BJ223/BJ227</f>
        <v>5.4054054054054057E-2</v>
      </c>
      <c r="BL223" s="5">
        <f>12/$BL$3</f>
        <v>5.4054054054054057E-2</v>
      </c>
      <c r="BN223">
        <v>22</v>
      </c>
      <c r="BO223" s="5">
        <f>BN223/BN227</f>
        <v>5.7894736842105263E-2</v>
      </c>
      <c r="BP223" s="5">
        <f>22/$BP$3</f>
        <v>5.7894736842105263E-2</v>
      </c>
      <c r="BR223">
        <v>18</v>
      </c>
      <c r="BS223" s="5">
        <f>BR223/BR227</f>
        <v>4.8648648648648651E-2</v>
      </c>
      <c r="BT223" s="5">
        <f>18/$BT$3</f>
        <v>4.8648648648648651E-2</v>
      </c>
      <c r="BV223">
        <v>16</v>
      </c>
      <c r="BW223" s="5">
        <f>BV223/BV227</f>
        <v>6.4000000000000001E-2</v>
      </c>
      <c r="BX223" s="5">
        <f>16/$BX$3</f>
        <v>6.4000000000000001E-2</v>
      </c>
      <c r="BZ223">
        <v>15</v>
      </c>
      <c r="CA223" s="5">
        <f>BZ223/BZ227</f>
        <v>0.06</v>
      </c>
      <c r="CB223" s="5">
        <f>15/$CB$3</f>
        <v>0.06</v>
      </c>
      <c r="CD223">
        <v>7</v>
      </c>
      <c r="CE223" s="5">
        <f>CD223/CD227</f>
        <v>3.3333333333333333E-2</v>
      </c>
      <c r="CF223" s="5">
        <f>7/$CF$3</f>
        <v>3.3333333333333333E-2</v>
      </c>
      <c r="CH223">
        <v>17</v>
      </c>
      <c r="CI223" s="5">
        <f>CH223/CH227</f>
        <v>7.7272727272727271E-2</v>
      </c>
      <c r="CJ223" s="5">
        <f>17/$CJ$3</f>
        <v>7.7272727272727271E-2</v>
      </c>
      <c r="CL223">
        <v>17</v>
      </c>
      <c r="CM223" s="5">
        <f>CL223/CL227</f>
        <v>5.3124999999999999E-2</v>
      </c>
      <c r="CN223" s="5">
        <f>17/$CN$3</f>
        <v>5.3124999999999999E-2</v>
      </c>
    </row>
    <row r="224" spans="1:92" x14ac:dyDescent="0.25">
      <c r="A224" s="1" t="s">
        <v>2148</v>
      </c>
      <c r="B224">
        <v>30</v>
      </c>
      <c r="C224" s="5">
        <f>B224/B227</f>
        <v>0.03</v>
      </c>
      <c r="D224" s="5">
        <f>30/$D$3</f>
        <v>0.03</v>
      </c>
      <c r="F224">
        <v>15</v>
      </c>
      <c r="G224" s="5">
        <f>F224/F227</f>
        <v>3.1779661016949151E-2</v>
      </c>
      <c r="H224" s="5">
        <f>15/$H$3</f>
        <v>3.1779661016949151E-2</v>
      </c>
      <c r="J224">
        <v>9</v>
      </c>
      <c r="K224" s="5">
        <f>J224/J227</f>
        <v>3.1578947368421054E-2</v>
      </c>
      <c r="L224" s="5">
        <f>9/$L$3</f>
        <v>3.1578947368421054E-2</v>
      </c>
      <c r="N224">
        <v>11</v>
      </c>
      <c r="O224" s="5">
        <f>N224/N227</f>
        <v>4.7413793103448273E-2</v>
      </c>
      <c r="P224" s="5">
        <f>11/$P$3</f>
        <v>4.7413793103448273E-2</v>
      </c>
      <c r="R224">
        <v>9</v>
      </c>
      <c r="S224" s="5">
        <f>R224/R227</f>
        <v>3.0612244897959183E-2</v>
      </c>
      <c r="T224" s="5">
        <f>9/$T$3</f>
        <v>3.0612244897959183E-2</v>
      </c>
      <c r="V224">
        <v>13</v>
      </c>
      <c r="W224" s="5">
        <f>V224/V227</f>
        <v>3.125E-2</v>
      </c>
      <c r="X224" s="5">
        <f>13/$X$3</f>
        <v>3.125E-2</v>
      </c>
      <c r="Z224">
        <v>13</v>
      </c>
      <c r="AA224" s="5">
        <f>Z224/Z227</f>
        <v>3.0952380952380953E-2</v>
      </c>
      <c r="AB224" s="5">
        <f>13/$AB$3</f>
        <v>3.0952380952380953E-2</v>
      </c>
      <c r="AD224">
        <v>14</v>
      </c>
      <c r="AE224" s="5">
        <f>AD224/AD227</f>
        <v>2.8000000000000001E-2</v>
      </c>
      <c r="AF224" s="5">
        <f>14/$AF$3</f>
        <v>2.8000000000000001E-2</v>
      </c>
      <c r="AH224">
        <v>16</v>
      </c>
      <c r="AI224" s="5">
        <f>AH224/AH227</f>
        <v>3.2000000000000001E-2</v>
      </c>
      <c r="AJ224" s="5">
        <f>16/$AJ$3</f>
        <v>3.2000000000000001E-2</v>
      </c>
      <c r="AL224">
        <v>8</v>
      </c>
      <c r="AM224" s="5">
        <f>AL224/AL227</f>
        <v>4.7337278106508875E-2</v>
      </c>
      <c r="AN224" s="5">
        <f>8/$AN$3</f>
        <v>4.7337278106508875E-2</v>
      </c>
      <c r="AP224">
        <v>12</v>
      </c>
      <c r="AQ224" s="5">
        <f>AP224/AP227</f>
        <v>3.8585209003215437E-2</v>
      </c>
      <c r="AR224" s="5">
        <f>12/$AR$3</f>
        <v>3.8585209003215437E-2</v>
      </c>
      <c r="AT224">
        <v>7</v>
      </c>
      <c r="AU224" s="5">
        <f>AT224/AT227</f>
        <v>1.7948717948717947E-2</v>
      </c>
      <c r="AV224" s="5">
        <f>7/$AV$3</f>
        <v>1.7948717948717947E-2</v>
      </c>
      <c r="AX224">
        <v>3</v>
      </c>
      <c r="AY224" s="5">
        <f>AX224/AX227</f>
        <v>2.3076923076923078E-2</v>
      </c>
      <c r="AZ224" s="5">
        <f>3/$AZ$3</f>
        <v>2.3076923076923078E-2</v>
      </c>
      <c r="BB224">
        <v>21</v>
      </c>
      <c r="BC224" s="5">
        <f>BB224/BB227</f>
        <v>5.1724137931034482E-2</v>
      </c>
      <c r="BD224" s="5">
        <f>21/$BD$3</f>
        <v>5.1724137931034482E-2</v>
      </c>
      <c r="BF224">
        <v>6</v>
      </c>
      <c r="BG224" s="5">
        <f>BF224/BF227</f>
        <v>1.6129032258064516E-2</v>
      </c>
      <c r="BH224" s="5">
        <f>6/$BH$3</f>
        <v>1.6129032258064516E-2</v>
      </c>
      <c r="BJ224">
        <v>3</v>
      </c>
      <c r="BK224" s="5">
        <f>BJ224/BJ227</f>
        <v>1.3513513513513514E-2</v>
      </c>
      <c r="BL224" s="5">
        <f>3/$BL$3</f>
        <v>1.3513513513513514E-2</v>
      </c>
      <c r="BN224">
        <v>17</v>
      </c>
      <c r="BO224" s="5">
        <f>BN224/BN227</f>
        <v>4.4736842105263158E-2</v>
      </c>
      <c r="BP224" s="5">
        <f>17/$BP$3</f>
        <v>4.4736842105263158E-2</v>
      </c>
      <c r="BR224">
        <v>9</v>
      </c>
      <c r="BS224" s="5">
        <f>BR224/BR227</f>
        <v>2.4324324324324326E-2</v>
      </c>
      <c r="BT224" s="5">
        <f>9/$BT$3</f>
        <v>2.4324324324324326E-2</v>
      </c>
      <c r="BV224">
        <v>4</v>
      </c>
      <c r="BW224" s="5">
        <f>BV224/BV227</f>
        <v>1.6E-2</v>
      </c>
      <c r="BX224" s="5">
        <f>4/$BX$3</f>
        <v>1.6E-2</v>
      </c>
      <c r="BZ224">
        <v>12</v>
      </c>
      <c r="CA224" s="5">
        <f>BZ224/BZ227</f>
        <v>4.8000000000000001E-2</v>
      </c>
      <c r="CB224" s="5">
        <f>12/$CB$3</f>
        <v>4.8000000000000001E-2</v>
      </c>
      <c r="CD224">
        <v>6</v>
      </c>
      <c r="CE224" s="5">
        <f>CD224/CD227</f>
        <v>2.8571428571428571E-2</v>
      </c>
      <c r="CF224" s="5">
        <f>6/$CF$3</f>
        <v>2.8571428571428571E-2</v>
      </c>
      <c r="CH224">
        <v>6</v>
      </c>
      <c r="CI224" s="5">
        <f>CH224/CH227</f>
        <v>2.7272727272727271E-2</v>
      </c>
      <c r="CJ224" s="5">
        <f>6/$CJ$3</f>
        <v>2.7272727272727271E-2</v>
      </c>
      <c r="CL224">
        <v>6</v>
      </c>
      <c r="CM224" s="5">
        <f>CL224/CL227</f>
        <v>1.8749999999999999E-2</v>
      </c>
      <c r="CN224" s="5">
        <f>6/$CN$3</f>
        <v>1.8749999999999999E-2</v>
      </c>
    </row>
    <row r="225" spans="1:92" x14ac:dyDescent="0.25">
      <c r="A225" s="1" t="s">
        <v>2149</v>
      </c>
      <c r="B225">
        <v>112</v>
      </c>
      <c r="C225" s="5">
        <f>B225/B227</f>
        <v>0.112</v>
      </c>
      <c r="D225" s="5">
        <f>112/$D$3</f>
        <v>0.112</v>
      </c>
      <c r="F225">
        <v>59</v>
      </c>
      <c r="G225" s="5">
        <f>F225/F227</f>
        <v>0.125</v>
      </c>
      <c r="H225" s="5">
        <f>59/$H$3</f>
        <v>0.125</v>
      </c>
      <c r="J225">
        <v>26</v>
      </c>
      <c r="K225" s="5">
        <f>J225/J227</f>
        <v>9.1228070175438603E-2</v>
      </c>
      <c r="L225" s="5">
        <f>26/$L$3</f>
        <v>9.1228070175438603E-2</v>
      </c>
      <c r="N225">
        <v>27</v>
      </c>
      <c r="O225" s="5">
        <f>N225/N227</f>
        <v>0.11637931034482758</v>
      </c>
      <c r="P225" s="5">
        <f>27/$P$3</f>
        <v>0.11637931034482758</v>
      </c>
      <c r="R225">
        <v>36</v>
      </c>
      <c r="S225" s="5">
        <f>R225/R227</f>
        <v>0.12244897959183673</v>
      </c>
      <c r="T225" s="5">
        <f>36/$T$3</f>
        <v>0.12244897959183673</v>
      </c>
      <c r="V225">
        <v>56</v>
      </c>
      <c r="W225" s="5">
        <f>V225/V227</f>
        <v>0.13461538461538461</v>
      </c>
      <c r="X225" s="5">
        <f>56/$X$3</f>
        <v>0.13461538461538461</v>
      </c>
      <c r="Z225">
        <v>53</v>
      </c>
      <c r="AA225" s="5">
        <f>Z225/Z227</f>
        <v>0.12619047619047619</v>
      </c>
      <c r="AB225" s="5">
        <f>53/$AB$3</f>
        <v>0.12619047619047619</v>
      </c>
      <c r="AD225">
        <v>57</v>
      </c>
      <c r="AE225" s="5">
        <f>AD225/AD227</f>
        <v>0.114</v>
      </c>
      <c r="AF225" s="5">
        <f>57/$AF$3</f>
        <v>0.114</v>
      </c>
      <c r="AH225">
        <v>55</v>
      </c>
      <c r="AI225" s="5">
        <f>AH225/AH227</f>
        <v>0.11</v>
      </c>
      <c r="AJ225" s="5">
        <f>55/$AJ$3</f>
        <v>0.11</v>
      </c>
      <c r="AL225">
        <v>21</v>
      </c>
      <c r="AM225" s="5">
        <f>AL225/AL227</f>
        <v>0.1242603550295858</v>
      </c>
      <c r="AN225" s="5">
        <f>21/$AN$3</f>
        <v>0.1242603550295858</v>
      </c>
      <c r="AP225">
        <v>40</v>
      </c>
      <c r="AQ225" s="5">
        <f>AP225/AP227</f>
        <v>0.12861736334405144</v>
      </c>
      <c r="AR225" s="5">
        <f>40/$AR$3</f>
        <v>0.12861736334405144</v>
      </c>
      <c r="AT225">
        <v>42</v>
      </c>
      <c r="AU225" s="5">
        <f>AT225/AT227</f>
        <v>0.1076923076923077</v>
      </c>
      <c r="AV225" s="5">
        <f>42/$AV$3</f>
        <v>0.1076923076923077</v>
      </c>
      <c r="AX225">
        <v>9</v>
      </c>
      <c r="AY225" s="5">
        <f>AX225/AX227</f>
        <v>6.9230769230769235E-2</v>
      </c>
      <c r="AZ225" s="5">
        <f>9/$AZ$3</f>
        <v>6.9230769230769235E-2</v>
      </c>
      <c r="BB225">
        <v>48</v>
      </c>
      <c r="BC225" s="5">
        <f>BB225/BB227</f>
        <v>0.11822660098522167</v>
      </c>
      <c r="BD225" s="5">
        <f>48/$BD$3</f>
        <v>0.11822660098522167</v>
      </c>
      <c r="BF225">
        <v>38</v>
      </c>
      <c r="BG225" s="5">
        <f>BF225/BF227</f>
        <v>0.10215053763440861</v>
      </c>
      <c r="BH225" s="5">
        <f>38/$BH$3</f>
        <v>0.10215053763440861</v>
      </c>
      <c r="BJ225">
        <v>26</v>
      </c>
      <c r="BK225" s="5">
        <f>BJ225/BJ227</f>
        <v>0.11711711711711711</v>
      </c>
      <c r="BL225" s="5">
        <f>26/$BL$3</f>
        <v>0.11711711711711711</v>
      </c>
      <c r="BN225">
        <v>45</v>
      </c>
      <c r="BO225" s="5">
        <f>BN225/BN227</f>
        <v>0.11842105263157894</v>
      </c>
      <c r="BP225" s="5">
        <f>45/$BP$3</f>
        <v>0.11842105263157894</v>
      </c>
      <c r="BR225">
        <v>43</v>
      </c>
      <c r="BS225" s="5">
        <f>BR225/BR227</f>
        <v>0.11621621621621622</v>
      </c>
      <c r="BT225" s="5">
        <f>43/$BT$3</f>
        <v>0.11621621621621622</v>
      </c>
      <c r="BV225">
        <v>24</v>
      </c>
      <c r="BW225" s="5">
        <f>BV225/BV227</f>
        <v>9.6000000000000002E-2</v>
      </c>
      <c r="BX225" s="5">
        <f>24/$BX$3</f>
        <v>9.6000000000000002E-2</v>
      </c>
      <c r="BZ225">
        <v>39</v>
      </c>
      <c r="CA225" s="5">
        <f>BZ225/BZ227</f>
        <v>0.156</v>
      </c>
      <c r="CB225" s="5">
        <f>39/$CB$3</f>
        <v>0.156</v>
      </c>
      <c r="CD225">
        <v>20</v>
      </c>
      <c r="CE225" s="5">
        <f>CD225/CD227</f>
        <v>9.5238095238095233E-2</v>
      </c>
      <c r="CF225" s="5">
        <f>20/$CF$3</f>
        <v>9.5238095238095233E-2</v>
      </c>
      <c r="CH225">
        <v>26</v>
      </c>
      <c r="CI225" s="5">
        <f>CH225/CH227</f>
        <v>0.11818181818181818</v>
      </c>
      <c r="CJ225" s="5">
        <f>26/$CJ$3</f>
        <v>0.11818181818181818</v>
      </c>
      <c r="CL225">
        <v>27</v>
      </c>
      <c r="CM225" s="5">
        <f>CL225/CL227</f>
        <v>8.4375000000000006E-2</v>
      </c>
      <c r="CN225" s="5">
        <f>27/$CN$3</f>
        <v>8.4375000000000006E-2</v>
      </c>
    </row>
    <row r="226" spans="1:92" x14ac:dyDescent="0.25">
      <c r="A226" s="1" t="s">
        <v>12</v>
      </c>
      <c r="B226">
        <v>516</v>
      </c>
      <c r="C226" s="5">
        <f>B226/B227</f>
        <v>0.51600000000000001</v>
      </c>
      <c r="D226" s="5">
        <f>516/$D$3</f>
        <v>0.51600000000000001</v>
      </c>
      <c r="F226">
        <v>210</v>
      </c>
      <c r="G226" s="5">
        <f>F226/F227</f>
        <v>0.44491525423728812</v>
      </c>
      <c r="H226" s="11">
        <f>210/$H$3</f>
        <v>0.44491525423728812</v>
      </c>
      <c r="J226">
        <v>125</v>
      </c>
      <c r="K226" s="5">
        <f>J226/J227</f>
        <v>0.43859649122807015</v>
      </c>
      <c r="L226" s="11">
        <f>125/$L$3</f>
        <v>0.43859649122807015</v>
      </c>
      <c r="N226">
        <v>94</v>
      </c>
      <c r="O226" s="5">
        <f>N226/N227</f>
        <v>0.40517241379310343</v>
      </c>
      <c r="P226" s="11">
        <f>94/$P$3</f>
        <v>0.40517241379310343</v>
      </c>
      <c r="R226">
        <v>110</v>
      </c>
      <c r="S226" s="5">
        <f>R226/R227</f>
        <v>0.37414965986394561</v>
      </c>
      <c r="T226" s="11">
        <f>110/$T$3</f>
        <v>0.37414965986394561</v>
      </c>
      <c r="V226">
        <v>174</v>
      </c>
      <c r="W226" s="5">
        <f>V226/V227</f>
        <v>0.41826923076923078</v>
      </c>
      <c r="X226" s="11">
        <f>174/$X$3</f>
        <v>0.41826923076923078</v>
      </c>
      <c r="Z226">
        <v>178</v>
      </c>
      <c r="AA226" s="5">
        <f>Z226/Z227</f>
        <v>0.4238095238095238</v>
      </c>
      <c r="AB226" s="11">
        <f>178/$AB$3</f>
        <v>0.4238095238095238</v>
      </c>
      <c r="AD226">
        <v>270</v>
      </c>
      <c r="AE226" s="5">
        <f>AD226/AD227</f>
        <v>0.54</v>
      </c>
      <c r="AF226" s="5">
        <f>270/$AF$3</f>
        <v>0.54</v>
      </c>
      <c r="AH226">
        <v>246</v>
      </c>
      <c r="AI226" s="5">
        <f>AH226/AH227</f>
        <v>0.49199999999999999</v>
      </c>
      <c r="AJ226" s="5">
        <f>246/$AJ$3</f>
        <v>0.49199999999999999</v>
      </c>
      <c r="AL226">
        <v>63</v>
      </c>
      <c r="AM226" s="5">
        <f>AL226/AL227</f>
        <v>0.37278106508875741</v>
      </c>
      <c r="AN226" s="11">
        <f>63/$AN$3</f>
        <v>0.37278106508875741</v>
      </c>
      <c r="AP226">
        <v>158</v>
      </c>
      <c r="AQ226" s="5">
        <f>AP226/AP227</f>
        <v>0.50803858520900325</v>
      </c>
      <c r="AR226" s="5">
        <f>158/$AR$3</f>
        <v>0.50803858520900325</v>
      </c>
      <c r="AS226" s="12"/>
      <c r="AT226">
        <v>214</v>
      </c>
      <c r="AU226" s="5">
        <f>AT226/AT227</f>
        <v>0.54871794871794877</v>
      </c>
      <c r="AV226" s="5">
        <f>214/$AV$3</f>
        <v>0.54871794871794877</v>
      </c>
      <c r="AW226" s="12"/>
      <c r="AX226">
        <v>81</v>
      </c>
      <c r="AY226" s="5">
        <f>AX226/AX227</f>
        <v>0.62307692307692308</v>
      </c>
      <c r="AZ226" s="10">
        <f>81/$AZ$3</f>
        <v>0.62307692307692308</v>
      </c>
      <c r="BA226" s="12"/>
      <c r="BB226">
        <v>195</v>
      </c>
      <c r="BC226" s="5">
        <f>BB226/BB227</f>
        <v>0.48029556650246308</v>
      </c>
      <c r="BD226" s="5">
        <f>195/$BD$3</f>
        <v>0.48029556650246308</v>
      </c>
      <c r="BF226">
        <v>203</v>
      </c>
      <c r="BG226" s="5">
        <f>BF226/BF227</f>
        <v>0.54569892473118276</v>
      </c>
      <c r="BH226" s="5">
        <f>203/$BH$3</f>
        <v>0.54569892473118276</v>
      </c>
      <c r="BJ226">
        <v>118</v>
      </c>
      <c r="BK226" s="5">
        <f>BJ226/BJ227</f>
        <v>0.53153153153153154</v>
      </c>
      <c r="BL226" s="5">
        <f>118/$BL$3</f>
        <v>0.53153153153153154</v>
      </c>
      <c r="BN226">
        <v>195</v>
      </c>
      <c r="BO226" s="5">
        <f>BN226/BN227</f>
        <v>0.51315789473684215</v>
      </c>
      <c r="BP226" s="5">
        <f>195/$BP$3</f>
        <v>0.51315789473684215</v>
      </c>
      <c r="BR226">
        <v>193</v>
      </c>
      <c r="BS226" s="5">
        <f>BR226/BR227</f>
        <v>0.52162162162162162</v>
      </c>
      <c r="BT226" s="5">
        <f>193/$BT$3</f>
        <v>0.52162162162162162</v>
      </c>
      <c r="BV226">
        <v>128</v>
      </c>
      <c r="BW226" s="5">
        <f>BV226/BV227</f>
        <v>0.51200000000000001</v>
      </c>
      <c r="BX226" s="5">
        <f>128/$BX$3</f>
        <v>0.51200000000000001</v>
      </c>
      <c r="BZ226">
        <v>129</v>
      </c>
      <c r="CA226" s="5">
        <f>BZ226/BZ227</f>
        <v>0.51600000000000001</v>
      </c>
      <c r="CB226" s="5">
        <f>129/$CB$3</f>
        <v>0.51600000000000001</v>
      </c>
      <c r="CD226">
        <v>112</v>
      </c>
      <c r="CE226" s="5">
        <f>CD226/CD227</f>
        <v>0.53333333333333333</v>
      </c>
      <c r="CF226" s="5">
        <f>112/$CF$3</f>
        <v>0.53333333333333333</v>
      </c>
      <c r="CH226">
        <v>102</v>
      </c>
      <c r="CI226" s="5">
        <f>CH226/CH227</f>
        <v>0.46363636363636362</v>
      </c>
      <c r="CJ226" s="5">
        <f>102/$CJ$3</f>
        <v>0.46363636363636362</v>
      </c>
      <c r="CL226">
        <v>173</v>
      </c>
      <c r="CM226" s="5">
        <f>CL226/CL227</f>
        <v>0.54062500000000002</v>
      </c>
      <c r="CN226" s="5">
        <f>173/$CN$3</f>
        <v>0.54062500000000002</v>
      </c>
    </row>
    <row r="227" spans="1:92" s="6" customFormat="1" x14ac:dyDescent="0.25">
      <c r="A227" s="7" t="s">
        <v>13</v>
      </c>
      <c r="B227" s="6">
        <v>1000</v>
      </c>
      <c r="F227" s="6">
        <v>472</v>
      </c>
      <c r="J227" s="6">
        <v>285</v>
      </c>
      <c r="N227" s="6">
        <v>232</v>
      </c>
      <c r="R227" s="6">
        <v>294</v>
      </c>
      <c r="V227" s="6">
        <v>416</v>
      </c>
      <c r="Z227" s="6">
        <v>420</v>
      </c>
      <c r="AD227" s="6">
        <v>500</v>
      </c>
      <c r="AH227" s="6">
        <v>500</v>
      </c>
      <c r="AL227" s="6">
        <v>169</v>
      </c>
      <c r="AP227" s="6">
        <v>311</v>
      </c>
      <c r="AT227" s="6">
        <v>390</v>
      </c>
      <c r="AX227" s="6">
        <v>130</v>
      </c>
      <c r="BB227" s="6">
        <v>406</v>
      </c>
      <c r="BF227" s="6">
        <v>372</v>
      </c>
      <c r="BJ227" s="6">
        <v>222</v>
      </c>
      <c r="BN227" s="6">
        <v>380</v>
      </c>
      <c r="BR227" s="6">
        <v>370</v>
      </c>
      <c r="BV227" s="6">
        <v>250</v>
      </c>
      <c r="BZ227" s="6">
        <v>250</v>
      </c>
      <c r="CD227" s="6">
        <v>210</v>
      </c>
      <c r="CH227" s="6">
        <v>220</v>
      </c>
      <c r="CL227" s="6">
        <v>320</v>
      </c>
    </row>
    <row r="228" spans="1:92" hidden="1" x14ac:dyDescent="0.25">
      <c r="A228" s="8" t="s">
        <v>14</v>
      </c>
      <c r="B228">
        <v>0</v>
      </c>
      <c r="F228">
        <v>0</v>
      </c>
      <c r="J228">
        <v>0</v>
      </c>
      <c r="N228">
        <v>0</v>
      </c>
      <c r="R228">
        <v>0</v>
      </c>
      <c r="V228">
        <v>0</v>
      </c>
      <c r="Z228">
        <v>0</v>
      </c>
      <c r="AD228">
        <v>0</v>
      </c>
      <c r="AH228">
        <v>0</v>
      </c>
      <c r="AL228">
        <v>0</v>
      </c>
      <c r="AP228">
        <v>0</v>
      </c>
      <c r="AT228">
        <v>0</v>
      </c>
      <c r="AX228">
        <v>0</v>
      </c>
      <c r="BB228">
        <v>0</v>
      </c>
      <c r="BF228">
        <v>0</v>
      </c>
      <c r="BJ228">
        <v>0</v>
      </c>
      <c r="BN228">
        <v>0</v>
      </c>
      <c r="BR228">
        <v>0</v>
      </c>
      <c r="BV228">
        <v>0</v>
      </c>
      <c r="BZ228">
        <v>0</v>
      </c>
      <c r="CD228">
        <v>0</v>
      </c>
      <c r="CH228">
        <v>0</v>
      </c>
      <c r="CL228">
        <v>0</v>
      </c>
    </row>
    <row r="229" spans="1:92" hidden="1" x14ac:dyDescent="0.25">
      <c r="A229" s="8" t="s">
        <v>15</v>
      </c>
      <c r="B229">
        <v>0</v>
      </c>
      <c r="F229">
        <v>0</v>
      </c>
      <c r="J229">
        <v>0</v>
      </c>
      <c r="N229">
        <v>0</v>
      </c>
      <c r="R229">
        <v>0</v>
      </c>
      <c r="V229">
        <v>0</v>
      </c>
      <c r="Z229">
        <v>0</v>
      </c>
      <c r="AD229">
        <v>0</v>
      </c>
      <c r="AH229">
        <v>0</v>
      </c>
      <c r="AL229">
        <v>0</v>
      </c>
      <c r="AP229">
        <v>0</v>
      </c>
      <c r="AT229">
        <v>0</v>
      </c>
      <c r="AX229">
        <v>0</v>
      </c>
      <c r="BB229">
        <v>0</v>
      </c>
      <c r="BF229">
        <v>0</v>
      </c>
      <c r="BJ229">
        <v>0</v>
      </c>
      <c r="BN229">
        <v>0</v>
      </c>
      <c r="BR229">
        <v>0</v>
      </c>
      <c r="BV229">
        <v>0</v>
      </c>
      <c r="BZ229">
        <v>0</v>
      </c>
      <c r="CD229">
        <v>0</v>
      </c>
      <c r="CH229">
        <v>0</v>
      </c>
      <c r="CL229">
        <v>0</v>
      </c>
    </row>
    <row r="231" spans="1:92" x14ac:dyDescent="0.25">
      <c r="AN231" s="2" t="s">
        <v>5</v>
      </c>
      <c r="AR231" s="2" t="s">
        <v>6</v>
      </c>
      <c r="AV231" s="2" t="s">
        <v>7</v>
      </c>
      <c r="AZ231" s="2" t="s">
        <v>8</v>
      </c>
      <c r="BD231" s="2" t="s">
        <v>5</v>
      </c>
      <c r="BH231" s="2" t="s">
        <v>6</v>
      </c>
      <c r="BL231" s="2" t="s">
        <v>7</v>
      </c>
      <c r="BP231" s="2" t="s">
        <v>5</v>
      </c>
      <c r="BT231" s="2" t="s">
        <v>6</v>
      </c>
      <c r="BX231" s="2" t="s">
        <v>7</v>
      </c>
      <c r="CB231" s="2" t="s">
        <v>5</v>
      </c>
      <c r="CF231" s="2" t="s">
        <v>6</v>
      </c>
      <c r="CJ231" s="2" t="s">
        <v>7</v>
      </c>
      <c r="CN231" s="2" t="s">
        <v>8</v>
      </c>
    </row>
    <row r="232" spans="1:92" s="3" customFormat="1" x14ac:dyDescent="0.25">
      <c r="A232" s="3" t="s">
        <v>2144</v>
      </c>
      <c r="D232" s="4" t="s">
        <v>10</v>
      </c>
      <c r="H232" s="4" t="s">
        <v>10</v>
      </c>
      <c r="L232" s="4" t="s">
        <v>10</v>
      </c>
      <c r="P232" s="4" t="s">
        <v>10</v>
      </c>
      <c r="T232" s="4" t="s">
        <v>10</v>
      </c>
      <c r="X232" s="4" t="s">
        <v>10</v>
      </c>
      <c r="AB232" s="4" t="s">
        <v>10</v>
      </c>
      <c r="AF232" s="4" t="s">
        <v>10</v>
      </c>
      <c r="AJ232" s="4" t="s">
        <v>10</v>
      </c>
      <c r="AN232" s="4" t="s">
        <v>10</v>
      </c>
      <c r="AR232" s="4" t="s">
        <v>10</v>
      </c>
      <c r="AV232" s="4" t="s">
        <v>10</v>
      </c>
      <c r="AZ232" s="4" t="s">
        <v>10</v>
      </c>
      <c r="BD232" s="4" t="s">
        <v>10</v>
      </c>
      <c r="BH232" s="4" t="s">
        <v>10</v>
      </c>
      <c r="BL232" s="4" t="s">
        <v>10</v>
      </c>
      <c r="BP232" s="4" t="s">
        <v>10</v>
      </c>
      <c r="BT232" s="4" t="s">
        <v>10</v>
      </c>
      <c r="BX232" s="4" t="s">
        <v>10</v>
      </c>
      <c r="CB232" s="4" t="s">
        <v>10</v>
      </c>
      <c r="CF232" s="4" t="s">
        <v>10</v>
      </c>
      <c r="CJ232" s="4" t="s">
        <v>10</v>
      </c>
      <c r="CN232" s="4" t="s">
        <v>10</v>
      </c>
    </row>
    <row r="233" spans="1:92" x14ac:dyDescent="0.25">
      <c r="A233" s="1" t="s">
        <v>48</v>
      </c>
      <c r="B233">
        <v>64</v>
      </c>
      <c r="C233" s="5">
        <f>B233/B241</f>
        <v>6.4000000000000001E-2</v>
      </c>
      <c r="D233" s="5">
        <f>64/$D$3</f>
        <v>6.4000000000000001E-2</v>
      </c>
      <c r="F233">
        <v>40</v>
      </c>
      <c r="G233" s="5">
        <f>F233/F241</f>
        <v>8.4745762711864403E-2</v>
      </c>
      <c r="H233" s="5">
        <f>40/$H$3</f>
        <v>8.4745762711864403E-2</v>
      </c>
      <c r="J233">
        <v>44</v>
      </c>
      <c r="K233" s="5">
        <f>J233/J241</f>
        <v>0.15438596491228071</v>
      </c>
      <c r="L233" s="5">
        <f>44/$L$3</f>
        <v>0.15438596491228071</v>
      </c>
      <c r="N233">
        <v>26</v>
      </c>
      <c r="O233" s="5">
        <f>N233/N241</f>
        <v>0.11206896551724138</v>
      </c>
      <c r="P233" s="5">
        <f>26/$P$3</f>
        <v>0.11206896551724138</v>
      </c>
      <c r="R233">
        <v>30</v>
      </c>
      <c r="S233" s="5">
        <f>R233/R241</f>
        <v>0.10204081632653061</v>
      </c>
      <c r="T233" s="5">
        <f>30/$T$3</f>
        <v>0.10204081632653061</v>
      </c>
      <c r="V233">
        <v>36</v>
      </c>
      <c r="W233" s="5">
        <f>V233/V241</f>
        <v>8.6538461538461536E-2</v>
      </c>
      <c r="X233" s="5">
        <f>36/$X$3</f>
        <v>8.6538461538461536E-2</v>
      </c>
      <c r="Z233">
        <v>37</v>
      </c>
      <c r="AA233" s="5">
        <f>Z233/Z241</f>
        <v>8.8095238095238101E-2</v>
      </c>
      <c r="AB233" s="5">
        <f>37/$AB$3</f>
        <v>8.8095238095238101E-2</v>
      </c>
      <c r="AD233">
        <v>41</v>
      </c>
      <c r="AE233" s="5">
        <f>AD233/AD241</f>
        <v>8.2000000000000003E-2</v>
      </c>
      <c r="AF233" s="5">
        <f>41/$AF$3</f>
        <v>8.2000000000000003E-2</v>
      </c>
      <c r="AH233">
        <v>23</v>
      </c>
      <c r="AI233" s="5">
        <f>AH233/AH241</f>
        <v>4.5999999999999999E-2</v>
      </c>
      <c r="AJ233" s="5">
        <f>23/$AJ$3</f>
        <v>4.5999999999999999E-2</v>
      </c>
      <c r="AL233">
        <v>13</v>
      </c>
      <c r="AM233" s="5">
        <f>AL233/AL241</f>
        <v>7.6923076923076927E-2</v>
      </c>
      <c r="AN233" s="5">
        <f>13/$AN$3</f>
        <v>7.6923076923076927E-2</v>
      </c>
      <c r="AP233">
        <v>23</v>
      </c>
      <c r="AQ233" s="5">
        <f>AP233/AP241</f>
        <v>7.3954983922829579E-2</v>
      </c>
      <c r="AR233" s="5">
        <f>23/$AR$3</f>
        <v>7.3954983922829579E-2</v>
      </c>
      <c r="AT233">
        <v>24</v>
      </c>
      <c r="AU233" s="5">
        <f>AT233/AT241</f>
        <v>6.1538461538461542E-2</v>
      </c>
      <c r="AV233" s="5">
        <f>24/$AV$3</f>
        <v>6.1538461538461542E-2</v>
      </c>
      <c r="AX233">
        <v>4</v>
      </c>
      <c r="AY233" s="5">
        <f>AX233/AX241</f>
        <v>3.0769230769230771E-2</v>
      </c>
      <c r="AZ233" s="5">
        <f>4/$AZ$3</f>
        <v>3.0769230769230771E-2</v>
      </c>
      <c r="BB233">
        <v>25</v>
      </c>
      <c r="BC233" s="5">
        <f>BB233/BB241</f>
        <v>6.1576354679802957E-2</v>
      </c>
      <c r="BD233" s="5">
        <f>25/$BD$3</f>
        <v>6.1576354679802957E-2</v>
      </c>
      <c r="BF233">
        <v>22</v>
      </c>
      <c r="BG233" s="5">
        <f>BF233/BF241</f>
        <v>5.9139784946236562E-2</v>
      </c>
      <c r="BH233" s="5">
        <f>22/$BH$3</f>
        <v>5.9139784946236562E-2</v>
      </c>
      <c r="BJ233">
        <v>17</v>
      </c>
      <c r="BK233" s="5">
        <f>BJ233/BJ241</f>
        <v>7.6576576576576572E-2</v>
      </c>
      <c r="BL233" s="5">
        <f>17/$BL$3</f>
        <v>7.6576576576576572E-2</v>
      </c>
      <c r="BN233">
        <v>27</v>
      </c>
      <c r="BO233" s="5">
        <f>BN233/BN241</f>
        <v>7.1052631578947367E-2</v>
      </c>
      <c r="BP233" s="5">
        <f>27/$BP$3</f>
        <v>7.1052631578947367E-2</v>
      </c>
      <c r="BR233">
        <v>18</v>
      </c>
      <c r="BS233" s="5">
        <f>BR233/BR241</f>
        <v>4.8648648648648651E-2</v>
      </c>
      <c r="BT233" s="5">
        <f>18/$BT$3</f>
        <v>4.8648648648648651E-2</v>
      </c>
      <c r="BV233">
        <v>19</v>
      </c>
      <c r="BW233" s="5">
        <f>BV233/BV241</f>
        <v>7.5999999999999998E-2</v>
      </c>
      <c r="BX233" s="5">
        <f>19/$BX$3</f>
        <v>7.5999999999999998E-2</v>
      </c>
      <c r="BZ233">
        <v>16</v>
      </c>
      <c r="CA233" s="5">
        <f>BZ233/BZ241</f>
        <v>6.4000000000000001E-2</v>
      </c>
      <c r="CB233" s="5">
        <f>16/$CB$3</f>
        <v>6.4000000000000001E-2</v>
      </c>
      <c r="CD233">
        <v>13</v>
      </c>
      <c r="CE233" s="5">
        <f>CD233/CD241</f>
        <v>6.1904761904761907E-2</v>
      </c>
      <c r="CF233" s="5">
        <f>13/$CF$3</f>
        <v>6.1904761904761907E-2</v>
      </c>
      <c r="CH233">
        <v>13</v>
      </c>
      <c r="CI233" s="5">
        <f>CH233/CH241</f>
        <v>5.909090909090909E-2</v>
      </c>
      <c r="CJ233" s="5">
        <f>13/$CJ$3</f>
        <v>5.909090909090909E-2</v>
      </c>
      <c r="CL233">
        <v>22</v>
      </c>
      <c r="CM233" s="5">
        <f>CL233/CL241</f>
        <v>6.8750000000000006E-2</v>
      </c>
      <c r="CN233" s="5">
        <f>22/$CN$3</f>
        <v>6.8750000000000006E-2</v>
      </c>
    </row>
    <row r="234" spans="1:92" x14ac:dyDescent="0.25">
      <c r="A234" s="1" t="s">
        <v>1063</v>
      </c>
      <c r="B234">
        <v>73</v>
      </c>
      <c r="C234" s="5">
        <f>B234/B241</f>
        <v>7.2999999999999995E-2</v>
      </c>
      <c r="D234" s="5">
        <f>73/$D$3</f>
        <v>7.2999999999999995E-2</v>
      </c>
      <c r="F234">
        <v>40</v>
      </c>
      <c r="G234" s="5">
        <f>F234/F241</f>
        <v>8.4745762711864403E-2</v>
      </c>
      <c r="H234" s="5">
        <f>40/$H$3</f>
        <v>8.4745762711864403E-2</v>
      </c>
      <c r="J234">
        <v>25</v>
      </c>
      <c r="K234" s="5">
        <f>J234/J241</f>
        <v>8.771929824561403E-2</v>
      </c>
      <c r="L234" s="5">
        <f>25/$L$3</f>
        <v>8.771929824561403E-2</v>
      </c>
      <c r="N234">
        <v>28</v>
      </c>
      <c r="O234" s="5">
        <f>N234/N241</f>
        <v>0.1206896551724138</v>
      </c>
      <c r="P234" s="5">
        <f>28/$P$3</f>
        <v>0.1206896551724138</v>
      </c>
      <c r="R234">
        <v>27</v>
      </c>
      <c r="S234" s="5">
        <f>R234/R241</f>
        <v>9.1836734693877556E-2</v>
      </c>
      <c r="T234" s="5">
        <f>27/$T$3</f>
        <v>9.1836734693877556E-2</v>
      </c>
      <c r="V234">
        <v>38</v>
      </c>
      <c r="W234" s="5">
        <f>V234/V241</f>
        <v>9.1346153846153841E-2</v>
      </c>
      <c r="X234" s="5">
        <f>38/$X$3</f>
        <v>9.1346153846153841E-2</v>
      </c>
      <c r="Z234">
        <v>37</v>
      </c>
      <c r="AA234" s="5">
        <f>Z234/Z241</f>
        <v>8.8095238095238101E-2</v>
      </c>
      <c r="AB234" s="5">
        <f>37/$AB$3</f>
        <v>8.8095238095238101E-2</v>
      </c>
      <c r="AD234">
        <v>34</v>
      </c>
      <c r="AE234" s="5">
        <f>AD234/AD241</f>
        <v>6.8000000000000005E-2</v>
      </c>
      <c r="AF234" s="5">
        <f>34/$AF$3</f>
        <v>6.8000000000000005E-2</v>
      </c>
      <c r="AH234">
        <v>39</v>
      </c>
      <c r="AI234" s="5">
        <f>AH234/AH241</f>
        <v>7.8E-2</v>
      </c>
      <c r="AJ234" s="5">
        <f>39/$AJ$3</f>
        <v>7.8E-2</v>
      </c>
      <c r="AL234">
        <v>15</v>
      </c>
      <c r="AM234" s="5">
        <f>AL234/AL241</f>
        <v>8.8757396449704137E-2</v>
      </c>
      <c r="AN234" s="5">
        <f>15/$AN$3</f>
        <v>8.8757396449704137E-2</v>
      </c>
      <c r="AP234">
        <v>17</v>
      </c>
      <c r="AQ234" s="5">
        <f>AP234/AP241</f>
        <v>5.4662379421221867E-2</v>
      </c>
      <c r="AR234" s="5">
        <f>17/$AR$3</f>
        <v>5.4662379421221867E-2</v>
      </c>
      <c r="AT234">
        <v>31</v>
      </c>
      <c r="AU234" s="5">
        <f>AT234/AT241</f>
        <v>7.9487179487179482E-2</v>
      </c>
      <c r="AV234" s="5">
        <f>31/$AV$3</f>
        <v>7.9487179487179482E-2</v>
      </c>
      <c r="AX234">
        <v>10</v>
      </c>
      <c r="AY234" s="5">
        <f>AX234/AX241</f>
        <v>7.6923076923076927E-2</v>
      </c>
      <c r="AZ234" s="5">
        <f>10/$AZ$3</f>
        <v>7.6923076923076927E-2</v>
      </c>
      <c r="BB234">
        <v>36</v>
      </c>
      <c r="BC234" s="5">
        <f>BB234/BB241</f>
        <v>8.8669950738916259E-2</v>
      </c>
      <c r="BD234" s="5">
        <f>36/$BD$3</f>
        <v>8.8669950738916259E-2</v>
      </c>
      <c r="BF234">
        <v>26</v>
      </c>
      <c r="BG234" s="5">
        <f>BF234/BF241</f>
        <v>6.9892473118279563E-2</v>
      </c>
      <c r="BH234" s="5">
        <f>26/$BH$3</f>
        <v>6.9892473118279563E-2</v>
      </c>
      <c r="BJ234">
        <v>11</v>
      </c>
      <c r="BK234" s="5">
        <f>BJ234/BJ241</f>
        <v>4.954954954954955E-2</v>
      </c>
      <c r="BL234" s="5">
        <f>11/$BL$3</f>
        <v>4.954954954954955E-2</v>
      </c>
      <c r="BN234">
        <v>29</v>
      </c>
      <c r="BO234" s="5">
        <f>BN234/BN241</f>
        <v>7.6315789473684212E-2</v>
      </c>
      <c r="BP234" s="5">
        <f>29/$BP$3</f>
        <v>7.6315789473684212E-2</v>
      </c>
      <c r="BR234">
        <v>24</v>
      </c>
      <c r="BS234" s="5">
        <f>BR234/BR241</f>
        <v>6.4864864864864868E-2</v>
      </c>
      <c r="BT234" s="5">
        <f>24/$BT$3</f>
        <v>6.4864864864864868E-2</v>
      </c>
      <c r="BV234">
        <v>20</v>
      </c>
      <c r="BW234" s="5">
        <f>BV234/BV241</f>
        <v>0.08</v>
      </c>
      <c r="BX234" s="5">
        <f>20/$BX$3</f>
        <v>0.08</v>
      </c>
      <c r="BZ234">
        <v>19</v>
      </c>
      <c r="CA234" s="5">
        <f>BZ234/BZ241</f>
        <v>7.5999999999999998E-2</v>
      </c>
      <c r="CB234" s="5">
        <f>19/$CB$3</f>
        <v>7.5999999999999998E-2</v>
      </c>
      <c r="CD234">
        <v>15</v>
      </c>
      <c r="CE234" s="5">
        <f>CD234/CD241</f>
        <v>7.1428571428571425E-2</v>
      </c>
      <c r="CF234" s="5">
        <f>15/$CF$3</f>
        <v>7.1428571428571425E-2</v>
      </c>
      <c r="CH234">
        <v>14</v>
      </c>
      <c r="CI234" s="5">
        <f>CH234/CH241</f>
        <v>6.363636363636363E-2</v>
      </c>
      <c r="CJ234" s="5">
        <f>14/$CJ$3</f>
        <v>6.363636363636363E-2</v>
      </c>
      <c r="CL234">
        <v>25</v>
      </c>
      <c r="CM234" s="5">
        <f>CL234/CL241</f>
        <v>7.8125E-2</v>
      </c>
      <c r="CN234" s="5">
        <f>25/$CN$3</f>
        <v>7.8125E-2</v>
      </c>
    </row>
    <row r="235" spans="1:92" x14ac:dyDescent="0.25">
      <c r="A235" s="1" t="s">
        <v>2145</v>
      </c>
      <c r="B235">
        <v>44</v>
      </c>
      <c r="C235" s="5">
        <f>B235/B241</f>
        <v>4.3999999999999997E-2</v>
      </c>
      <c r="D235" s="5">
        <f>44/$D$3</f>
        <v>4.3999999999999997E-2</v>
      </c>
      <c r="F235">
        <v>20</v>
      </c>
      <c r="G235" s="5">
        <f>F235/F241</f>
        <v>4.2372881355932202E-2</v>
      </c>
      <c r="H235" s="5">
        <f>20/$H$3</f>
        <v>4.2372881355932202E-2</v>
      </c>
      <c r="J235">
        <v>16</v>
      </c>
      <c r="K235" s="5">
        <f>J235/J241</f>
        <v>5.6140350877192984E-2</v>
      </c>
      <c r="L235" s="5">
        <f>16/$L$3</f>
        <v>5.6140350877192984E-2</v>
      </c>
      <c r="N235">
        <v>15</v>
      </c>
      <c r="O235" s="5">
        <f>N235/N241</f>
        <v>6.4655172413793108E-2</v>
      </c>
      <c r="P235" s="5">
        <f>15/$P$3</f>
        <v>6.4655172413793108E-2</v>
      </c>
      <c r="R235">
        <v>16</v>
      </c>
      <c r="S235" s="5">
        <f>R235/R241</f>
        <v>5.4421768707482991E-2</v>
      </c>
      <c r="T235" s="5">
        <f>16/$T$3</f>
        <v>5.4421768707482991E-2</v>
      </c>
      <c r="V235">
        <v>19</v>
      </c>
      <c r="W235" s="5">
        <f>V235/V241</f>
        <v>4.567307692307692E-2</v>
      </c>
      <c r="X235" s="5">
        <f>19/$X$3</f>
        <v>4.567307692307692E-2</v>
      </c>
      <c r="Z235">
        <v>20</v>
      </c>
      <c r="AA235" s="5">
        <f>Z235/Z241</f>
        <v>4.7619047619047616E-2</v>
      </c>
      <c r="AB235" s="5">
        <f>20/$AB$3</f>
        <v>4.7619047619047616E-2</v>
      </c>
      <c r="AD235">
        <v>15</v>
      </c>
      <c r="AE235" s="5">
        <f>AD235/AD241</f>
        <v>0.03</v>
      </c>
      <c r="AF235" s="5">
        <f>15/$AF$3</f>
        <v>0.03</v>
      </c>
      <c r="AH235">
        <v>29</v>
      </c>
      <c r="AI235" s="5">
        <f>AH235/AH241</f>
        <v>5.8000000000000003E-2</v>
      </c>
      <c r="AJ235" s="5">
        <f>29/$AJ$3</f>
        <v>5.8000000000000003E-2</v>
      </c>
      <c r="AL235">
        <v>13</v>
      </c>
      <c r="AM235" s="5">
        <f>AL235/AL241</f>
        <v>7.6923076923076927E-2</v>
      </c>
      <c r="AN235" s="5">
        <f>13/$AN$3</f>
        <v>7.6923076923076927E-2</v>
      </c>
      <c r="AP235">
        <v>15</v>
      </c>
      <c r="AQ235" s="5">
        <f>AP235/AP241</f>
        <v>4.8231511254019289E-2</v>
      </c>
      <c r="AR235" s="5">
        <f>15/$AR$3</f>
        <v>4.8231511254019289E-2</v>
      </c>
      <c r="AT235">
        <v>11</v>
      </c>
      <c r="AU235" s="5">
        <f>AT235/AT241</f>
        <v>2.8205128205128206E-2</v>
      </c>
      <c r="AV235" s="5">
        <f>11/$AV$3</f>
        <v>2.8205128205128206E-2</v>
      </c>
      <c r="AX235">
        <v>5</v>
      </c>
      <c r="AY235" s="5">
        <f>AX235/AX241</f>
        <v>3.8461538461538464E-2</v>
      </c>
      <c r="AZ235" s="5">
        <f>5/$AZ$3</f>
        <v>3.8461538461538464E-2</v>
      </c>
      <c r="BB235">
        <v>26</v>
      </c>
      <c r="BC235" s="5">
        <f>BB235/BB241</f>
        <v>6.4039408866995079E-2</v>
      </c>
      <c r="BD235" s="5">
        <f>26/$BD$3</f>
        <v>6.4039408866995079E-2</v>
      </c>
      <c r="BF235">
        <v>11</v>
      </c>
      <c r="BG235" s="5">
        <f>BF235/BF241</f>
        <v>2.9569892473118281E-2</v>
      </c>
      <c r="BH235" s="5">
        <f>11/$BH$3</f>
        <v>2.9569892473118281E-2</v>
      </c>
      <c r="BJ235">
        <v>7</v>
      </c>
      <c r="BK235" s="5">
        <f>BJ235/BJ241</f>
        <v>3.1531531531531529E-2</v>
      </c>
      <c r="BL235" s="5">
        <f>7/$BL$3</f>
        <v>3.1531531531531529E-2</v>
      </c>
      <c r="BN235">
        <v>21</v>
      </c>
      <c r="BO235" s="5">
        <f>BN235/BN241</f>
        <v>5.526315789473684E-2</v>
      </c>
      <c r="BP235" s="5">
        <f>21/$BP$3</f>
        <v>5.526315789473684E-2</v>
      </c>
      <c r="BR235">
        <v>15</v>
      </c>
      <c r="BS235" s="5">
        <f>BR235/BR241</f>
        <v>4.0540540540540543E-2</v>
      </c>
      <c r="BT235" s="5">
        <f>15/$BT$3</f>
        <v>4.0540540540540543E-2</v>
      </c>
      <c r="BV235">
        <v>8</v>
      </c>
      <c r="BW235" s="5">
        <f>BV235/BV241</f>
        <v>3.2000000000000001E-2</v>
      </c>
      <c r="BX235" s="5">
        <f>8/$BX$3</f>
        <v>3.2000000000000001E-2</v>
      </c>
      <c r="BZ235">
        <v>12</v>
      </c>
      <c r="CA235" s="5">
        <f>BZ235/BZ241</f>
        <v>4.8000000000000001E-2</v>
      </c>
      <c r="CB235" s="5">
        <f>12/$CB$3</f>
        <v>4.8000000000000001E-2</v>
      </c>
      <c r="CD235">
        <v>7</v>
      </c>
      <c r="CE235" s="5">
        <f>CD235/CD241</f>
        <v>3.3333333333333333E-2</v>
      </c>
      <c r="CF235" s="5">
        <f>7/$CF$3</f>
        <v>3.3333333333333333E-2</v>
      </c>
      <c r="CH235">
        <v>15</v>
      </c>
      <c r="CI235" s="5">
        <f>CH235/CH241</f>
        <v>6.8181818181818177E-2</v>
      </c>
      <c r="CJ235" s="5">
        <f>15/$CJ$3</f>
        <v>6.8181818181818177E-2</v>
      </c>
      <c r="CL235">
        <v>10</v>
      </c>
      <c r="CM235" s="5">
        <f>CL235/CL241</f>
        <v>3.125E-2</v>
      </c>
      <c r="CN235" s="5">
        <f>10/$CN$3</f>
        <v>3.125E-2</v>
      </c>
    </row>
    <row r="236" spans="1:92" x14ac:dyDescent="0.25">
      <c r="A236" s="1" t="s">
        <v>2146</v>
      </c>
      <c r="B236">
        <v>49</v>
      </c>
      <c r="C236" s="5">
        <f>B236/B241</f>
        <v>4.9000000000000002E-2</v>
      </c>
      <c r="D236" s="5">
        <f>49/$D$3</f>
        <v>4.9000000000000002E-2</v>
      </c>
      <c r="F236">
        <v>28</v>
      </c>
      <c r="G236" s="5">
        <f>F236/F241</f>
        <v>5.9322033898305086E-2</v>
      </c>
      <c r="H236" s="5">
        <f>28/$H$3</f>
        <v>5.9322033898305086E-2</v>
      </c>
      <c r="J236">
        <v>14</v>
      </c>
      <c r="K236" s="5">
        <f>J236/J241</f>
        <v>4.912280701754386E-2</v>
      </c>
      <c r="L236" s="5">
        <f>14/$L$3</f>
        <v>4.912280701754386E-2</v>
      </c>
      <c r="N236">
        <v>14</v>
      </c>
      <c r="O236" s="5">
        <f>N236/N241</f>
        <v>6.0344827586206899E-2</v>
      </c>
      <c r="P236" s="5">
        <f>14/$P$3</f>
        <v>6.0344827586206899E-2</v>
      </c>
      <c r="R236">
        <v>17</v>
      </c>
      <c r="S236" s="5">
        <f>R236/R241</f>
        <v>5.7823129251700682E-2</v>
      </c>
      <c r="T236" s="5">
        <f>17/$T$3</f>
        <v>5.7823129251700682E-2</v>
      </c>
      <c r="V236">
        <v>26</v>
      </c>
      <c r="W236" s="5">
        <f>V236/V241</f>
        <v>6.25E-2</v>
      </c>
      <c r="X236" s="5">
        <f>26/$X$3</f>
        <v>6.25E-2</v>
      </c>
      <c r="Z236">
        <v>24</v>
      </c>
      <c r="AA236" s="5">
        <f>Z236/Z241</f>
        <v>5.7142857142857141E-2</v>
      </c>
      <c r="AB236" s="5">
        <f>24/$AB$3</f>
        <v>5.7142857142857141E-2</v>
      </c>
      <c r="AD236">
        <v>20</v>
      </c>
      <c r="AE236" s="5">
        <f>AD236/AD241</f>
        <v>0.04</v>
      </c>
      <c r="AF236" s="5">
        <f>20/$AF$3</f>
        <v>0.04</v>
      </c>
      <c r="AH236">
        <v>29</v>
      </c>
      <c r="AI236" s="5">
        <f>AH236/AH241</f>
        <v>5.8000000000000003E-2</v>
      </c>
      <c r="AJ236" s="5">
        <f>29/$AJ$3</f>
        <v>5.8000000000000003E-2</v>
      </c>
      <c r="AL236">
        <v>6</v>
      </c>
      <c r="AM236" s="5">
        <f>AL236/AL241</f>
        <v>3.5502958579881658E-2</v>
      </c>
      <c r="AN236" s="5">
        <f>6/$AN$3</f>
        <v>3.5502958579881658E-2</v>
      </c>
      <c r="AP236">
        <v>21</v>
      </c>
      <c r="AQ236" s="5">
        <f>AP236/AP241</f>
        <v>6.7524115755627015E-2</v>
      </c>
      <c r="AR236" s="5">
        <f>21/$AR$3</f>
        <v>6.7524115755627015E-2</v>
      </c>
      <c r="AT236">
        <v>16</v>
      </c>
      <c r="AU236" s="5">
        <f>AT236/AT241</f>
        <v>4.1025641025641026E-2</v>
      </c>
      <c r="AV236" s="5">
        <f>16/$AV$3</f>
        <v>4.1025641025641026E-2</v>
      </c>
      <c r="AX236">
        <v>6</v>
      </c>
      <c r="AY236" s="5">
        <f>AX236/AX241</f>
        <v>4.6153846153846156E-2</v>
      </c>
      <c r="AZ236" s="5">
        <f>6/$AZ$3</f>
        <v>4.6153846153846156E-2</v>
      </c>
      <c r="BB236">
        <v>18</v>
      </c>
      <c r="BC236" s="5">
        <f>BB236/BB241</f>
        <v>4.4334975369458129E-2</v>
      </c>
      <c r="BD236" s="5">
        <f>18/$BD$3</f>
        <v>4.4334975369458129E-2</v>
      </c>
      <c r="BF236">
        <v>23</v>
      </c>
      <c r="BG236" s="5">
        <f>BF236/BF241</f>
        <v>6.1827956989247312E-2</v>
      </c>
      <c r="BH236" s="5">
        <f>23/$BH$3</f>
        <v>6.1827956989247312E-2</v>
      </c>
      <c r="BJ236">
        <v>8</v>
      </c>
      <c r="BK236" s="5">
        <f>BJ236/BJ241</f>
        <v>3.6036036036036036E-2</v>
      </c>
      <c r="BL236" s="5">
        <f>8/$BL$3</f>
        <v>3.6036036036036036E-2</v>
      </c>
      <c r="BN236">
        <v>18</v>
      </c>
      <c r="BO236" s="5">
        <f>BN236/BN241</f>
        <v>4.736842105263158E-2</v>
      </c>
      <c r="BP236" s="5">
        <f>18/$BP$3</f>
        <v>4.736842105263158E-2</v>
      </c>
      <c r="BR236">
        <v>18</v>
      </c>
      <c r="BS236" s="5">
        <f>BR236/BR241</f>
        <v>4.8648648648648651E-2</v>
      </c>
      <c r="BT236" s="5">
        <f>18/$BT$3</f>
        <v>4.8648648648648651E-2</v>
      </c>
      <c r="BV236">
        <v>13</v>
      </c>
      <c r="BW236" s="5">
        <f>BV236/BV241</f>
        <v>5.1999999999999998E-2</v>
      </c>
      <c r="BX236" s="5">
        <f>13/$BX$3</f>
        <v>5.1999999999999998E-2</v>
      </c>
      <c r="BZ236">
        <v>12</v>
      </c>
      <c r="CA236" s="5">
        <f>BZ236/BZ241</f>
        <v>4.8000000000000001E-2</v>
      </c>
      <c r="CB236" s="5">
        <f>12/$CB$3</f>
        <v>4.8000000000000001E-2</v>
      </c>
      <c r="CD236">
        <v>9</v>
      </c>
      <c r="CE236" s="5">
        <f>CD236/CD241</f>
        <v>4.2857142857142858E-2</v>
      </c>
      <c r="CF236" s="5">
        <f>9/$CF$3</f>
        <v>4.2857142857142858E-2</v>
      </c>
      <c r="CH236">
        <v>16</v>
      </c>
      <c r="CI236" s="5">
        <f>CH236/CH241</f>
        <v>7.2727272727272724E-2</v>
      </c>
      <c r="CJ236" s="5">
        <f>16/$CJ$3</f>
        <v>7.2727272727272724E-2</v>
      </c>
      <c r="CL236">
        <v>12</v>
      </c>
      <c r="CM236" s="5">
        <f>CL236/CL241</f>
        <v>3.7499999999999999E-2</v>
      </c>
      <c r="CN236" s="5">
        <f>12/$CN$3</f>
        <v>3.7499999999999999E-2</v>
      </c>
    </row>
    <row r="237" spans="1:92" x14ac:dyDescent="0.25">
      <c r="A237" s="1" t="s">
        <v>2147</v>
      </c>
      <c r="B237">
        <v>77</v>
      </c>
      <c r="C237" s="5">
        <f>B237/B241</f>
        <v>7.6999999999999999E-2</v>
      </c>
      <c r="D237" s="5">
        <f>77/$D$3</f>
        <v>7.6999999999999999E-2</v>
      </c>
      <c r="F237">
        <v>38</v>
      </c>
      <c r="G237" s="5">
        <f>F237/F241</f>
        <v>8.050847457627118E-2</v>
      </c>
      <c r="H237" s="5">
        <f>38/$H$3</f>
        <v>8.050847457627118E-2</v>
      </c>
      <c r="J237">
        <v>20</v>
      </c>
      <c r="K237" s="5">
        <f>J237/J241</f>
        <v>7.0175438596491224E-2</v>
      </c>
      <c r="L237" s="5">
        <f>20/$L$3</f>
        <v>7.0175438596491224E-2</v>
      </c>
      <c r="N237">
        <v>26</v>
      </c>
      <c r="O237" s="5">
        <f>N237/N241</f>
        <v>0.11206896551724138</v>
      </c>
      <c r="P237" s="5">
        <f>26/$P$3</f>
        <v>0.11206896551724138</v>
      </c>
      <c r="R237">
        <v>26</v>
      </c>
      <c r="S237" s="5">
        <f>R237/R241</f>
        <v>8.8435374149659865E-2</v>
      </c>
      <c r="T237" s="5">
        <f>26/$T$3</f>
        <v>8.8435374149659865E-2</v>
      </c>
      <c r="V237">
        <v>33</v>
      </c>
      <c r="W237" s="5">
        <f>V237/V241</f>
        <v>7.9326923076923073E-2</v>
      </c>
      <c r="X237" s="5">
        <f>33/$X$3</f>
        <v>7.9326923076923073E-2</v>
      </c>
      <c r="Z237">
        <v>34</v>
      </c>
      <c r="AA237" s="5">
        <f>Z237/Z241</f>
        <v>8.0952380952380956E-2</v>
      </c>
      <c r="AB237" s="5">
        <f>34/$AB$3</f>
        <v>8.0952380952380956E-2</v>
      </c>
      <c r="AD237">
        <v>37</v>
      </c>
      <c r="AE237" s="5">
        <f>AD237/AD241</f>
        <v>7.3999999999999996E-2</v>
      </c>
      <c r="AF237" s="5">
        <f>37/$AF$3</f>
        <v>7.3999999999999996E-2</v>
      </c>
      <c r="AH237">
        <v>40</v>
      </c>
      <c r="AI237" s="5">
        <f>AH237/AH241</f>
        <v>0.08</v>
      </c>
      <c r="AJ237" s="5">
        <f>40/$AJ$3</f>
        <v>0.08</v>
      </c>
      <c r="AL237">
        <v>18</v>
      </c>
      <c r="AM237" s="5">
        <f>AL237/AL241</f>
        <v>0.10650887573964497</v>
      </c>
      <c r="AN237" s="5">
        <f>18/$AN$3</f>
        <v>0.10650887573964497</v>
      </c>
      <c r="AP237">
        <v>28</v>
      </c>
      <c r="AQ237" s="5">
        <f>AP237/AP241</f>
        <v>9.0032154340836015E-2</v>
      </c>
      <c r="AR237" s="5">
        <f>28/$AR$3</f>
        <v>9.0032154340836015E-2</v>
      </c>
      <c r="AT237">
        <v>24</v>
      </c>
      <c r="AU237" s="5">
        <f>AT237/AT241</f>
        <v>6.1538461538461542E-2</v>
      </c>
      <c r="AV237" s="5">
        <f>24/$AV$3</f>
        <v>6.1538461538461542E-2</v>
      </c>
      <c r="AX237">
        <v>7</v>
      </c>
      <c r="AY237" s="5">
        <f>AX237/AX241</f>
        <v>5.3846153846153849E-2</v>
      </c>
      <c r="AZ237" s="5">
        <f>7/$AZ$3</f>
        <v>5.3846153846153849E-2</v>
      </c>
      <c r="BB237">
        <v>31</v>
      </c>
      <c r="BC237" s="5">
        <f>BB237/BB241</f>
        <v>7.6354679802955669E-2</v>
      </c>
      <c r="BD237" s="5">
        <f>31/$BD$3</f>
        <v>7.6354679802955669E-2</v>
      </c>
      <c r="BF237">
        <v>28</v>
      </c>
      <c r="BG237" s="5">
        <f>BF237/BF241</f>
        <v>7.5268817204301078E-2</v>
      </c>
      <c r="BH237" s="5">
        <f>28/$BH$3</f>
        <v>7.5268817204301078E-2</v>
      </c>
      <c r="BJ237">
        <v>18</v>
      </c>
      <c r="BK237" s="5">
        <f>BJ237/BJ241</f>
        <v>8.1081081081081086E-2</v>
      </c>
      <c r="BL237" s="5">
        <f>18/$BL$3</f>
        <v>8.1081081081081086E-2</v>
      </c>
      <c r="BN237">
        <v>34</v>
      </c>
      <c r="BO237" s="5">
        <f>BN237/BN241</f>
        <v>8.9473684210526316E-2</v>
      </c>
      <c r="BP237" s="5">
        <f>34/$BP$3</f>
        <v>8.9473684210526316E-2</v>
      </c>
      <c r="BR237">
        <v>29</v>
      </c>
      <c r="BS237" s="5">
        <f>BR237/BR241</f>
        <v>7.8378378378378383E-2</v>
      </c>
      <c r="BT237" s="5">
        <f>29/$BT$3</f>
        <v>7.8378378378378383E-2</v>
      </c>
      <c r="BV237">
        <v>14</v>
      </c>
      <c r="BW237" s="5">
        <f>BV237/BV241</f>
        <v>5.6000000000000001E-2</v>
      </c>
      <c r="BX237" s="5">
        <f>14/$BX$3</f>
        <v>5.6000000000000001E-2</v>
      </c>
      <c r="BZ237">
        <v>20</v>
      </c>
      <c r="CA237" s="5">
        <f>BZ237/BZ241</f>
        <v>0.08</v>
      </c>
      <c r="CB237" s="5">
        <f>20/$CB$3</f>
        <v>0.08</v>
      </c>
      <c r="CD237">
        <v>15</v>
      </c>
      <c r="CE237" s="5">
        <f>CD237/CD241</f>
        <v>7.1428571428571425E-2</v>
      </c>
      <c r="CF237" s="5">
        <f>15/$CF$3</f>
        <v>7.1428571428571425E-2</v>
      </c>
      <c r="CH237">
        <v>20</v>
      </c>
      <c r="CI237" s="5">
        <f>CH237/CH241</f>
        <v>9.0909090909090912E-2</v>
      </c>
      <c r="CJ237" s="5">
        <f>20/$CJ$3</f>
        <v>9.0909090909090912E-2</v>
      </c>
      <c r="CL237">
        <v>22</v>
      </c>
      <c r="CM237" s="5">
        <f>CL237/CL241</f>
        <v>6.8750000000000006E-2</v>
      </c>
      <c r="CN237" s="5">
        <f>22/$CN$3</f>
        <v>6.8750000000000006E-2</v>
      </c>
    </row>
    <row r="238" spans="1:92" x14ac:dyDescent="0.25">
      <c r="A238" s="1" t="s">
        <v>2148</v>
      </c>
      <c r="B238">
        <v>73</v>
      </c>
      <c r="C238" s="5">
        <f>B238/B241</f>
        <v>7.2999999999999995E-2</v>
      </c>
      <c r="D238" s="5">
        <f>73/$D$3</f>
        <v>7.2999999999999995E-2</v>
      </c>
      <c r="F238">
        <v>36</v>
      </c>
      <c r="G238" s="5">
        <f>F238/F241</f>
        <v>7.6271186440677971E-2</v>
      </c>
      <c r="H238" s="5">
        <f>36/$H$3</f>
        <v>7.6271186440677971E-2</v>
      </c>
      <c r="J238">
        <v>25</v>
      </c>
      <c r="K238" s="5">
        <f>J238/J241</f>
        <v>8.771929824561403E-2</v>
      </c>
      <c r="L238" s="5">
        <f>25/$L$3</f>
        <v>8.771929824561403E-2</v>
      </c>
      <c r="N238">
        <v>19</v>
      </c>
      <c r="O238" s="5">
        <f>N238/N241</f>
        <v>8.1896551724137928E-2</v>
      </c>
      <c r="P238" s="5">
        <f>19/$P$3</f>
        <v>8.1896551724137928E-2</v>
      </c>
      <c r="R238">
        <v>26</v>
      </c>
      <c r="S238" s="5">
        <f>R238/R241</f>
        <v>8.8435374149659865E-2</v>
      </c>
      <c r="T238" s="5">
        <f>26/$T$3</f>
        <v>8.8435374149659865E-2</v>
      </c>
      <c r="V238">
        <v>33</v>
      </c>
      <c r="W238" s="5">
        <f>V238/V241</f>
        <v>7.9326923076923073E-2</v>
      </c>
      <c r="X238" s="5">
        <f>33/$X$3</f>
        <v>7.9326923076923073E-2</v>
      </c>
      <c r="Z238">
        <v>33</v>
      </c>
      <c r="AA238" s="5">
        <f>Z238/Z241</f>
        <v>7.857142857142857E-2</v>
      </c>
      <c r="AB238" s="5">
        <f>33/$AB$3</f>
        <v>7.857142857142857E-2</v>
      </c>
      <c r="AD238">
        <v>37</v>
      </c>
      <c r="AE238" s="5">
        <f>AD238/AD241</f>
        <v>7.3999999999999996E-2</v>
      </c>
      <c r="AF238" s="5">
        <f>37/$AF$3</f>
        <v>7.3999999999999996E-2</v>
      </c>
      <c r="AH238">
        <v>36</v>
      </c>
      <c r="AI238" s="5">
        <f>AH238/AH241</f>
        <v>7.1999999999999995E-2</v>
      </c>
      <c r="AJ238" s="5">
        <f>36/$AJ$3</f>
        <v>7.1999999999999995E-2</v>
      </c>
      <c r="AL238">
        <v>9</v>
      </c>
      <c r="AM238" s="5">
        <f>AL238/AL241</f>
        <v>5.3254437869822487E-2</v>
      </c>
      <c r="AN238" s="5">
        <f>9/$AN$3</f>
        <v>5.3254437869822487E-2</v>
      </c>
      <c r="AP238">
        <v>19</v>
      </c>
      <c r="AQ238" s="5">
        <f>AP238/AP241</f>
        <v>6.1093247588424437E-2</v>
      </c>
      <c r="AR238" s="5">
        <f>19/$AR$3</f>
        <v>6.1093247588424437E-2</v>
      </c>
      <c r="AT238">
        <v>33</v>
      </c>
      <c r="AU238" s="5">
        <f>AT238/AT241</f>
        <v>8.461538461538462E-2</v>
      </c>
      <c r="AV238" s="5">
        <f>33/$AV$3</f>
        <v>8.461538461538462E-2</v>
      </c>
      <c r="AX238">
        <v>12</v>
      </c>
      <c r="AY238" s="5">
        <f>AX238/AX241</f>
        <v>9.2307692307692313E-2</v>
      </c>
      <c r="AZ238" s="5">
        <f>12/$AZ$3</f>
        <v>9.2307692307692313E-2</v>
      </c>
      <c r="BB238">
        <v>36</v>
      </c>
      <c r="BC238" s="5">
        <f>BB238/BB241</f>
        <v>8.8669950738916259E-2</v>
      </c>
      <c r="BD238" s="5">
        <f>36/$BD$3</f>
        <v>8.8669950738916259E-2</v>
      </c>
      <c r="BF238">
        <v>27</v>
      </c>
      <c r="BG238" s="5">
        <f>BF238/BF241</f>
        <v>7.2580645161290328E-2</v>
      </c>
      <c r="BH238" s="5">
        <f>27/$BH$3</f>
        <v>7.2580645161290328E-2</v>
      </c>
      <c r="BJ238">
        <v>10</v>
      </c>
      <c r="BK238" s="5">
        <f>BJ238/BJ241</f>
        <v>4.5045045045045043E-2</v>
      </c>
      <c r="BL238" s="5">
        <f>10/$BL$3</f>
        <v>4.5045045045045043E-2</v>
      </c>
      <c r="BN238">
        <v>28</v>
      </c>
      <c r="BO238" s="5">
        <f>BN238/BN241</f>
        <v>7.3684210526315783E-2</v>
      </c>
      <c r="BP238" s="5">
        <f>28/$BP$3</f>
        <v>7.3684210526315783E-2</v>
      </c>
      <c r="BR238">
        <v>24</v>
      </c>
      <c r="BS238" s="5">
        <f>BR238/BR241</f>
        <v>6.4864864864864868E-2</v>
      </c>
      <c r="BT238" s="5">
        <f>24/$BT$3</f>
        <v>6.4864864864864868E-2</v>
      </c>
      <c r="BV238">
        <v>21</v>
      </c>
      <c r="BW238" s="5">
        <f>BV238/BV241</f>
        <v>8.4000000000000005E-2</v>
      </c>
      <c r="BX238" s="5">
        <f>21/$BX$3</f>
        <v>8.4000000000000005E-2</v>
      </c>
      <c r="BZ238">
        <v>18</v>
      </c>
      <c r="CA238" s="5">
        <f>BZ238/BZ241</f>
        <v>7.1999999999999995E-2</v>
      </c>
      <c r="CB238" s="5">
        <f>18/$CB$3</f>
        <v>7.1999999999999995E-2</v>
      </c>
      <c r="CD238">
        <v>16</v>
      </c>
      <c r="CE238" s="5">
        <f>CD238/CD241</f>
        <v>7.6190476190476197E-2</v>
      </c>
      <c r="CF238" s="5">
        <f>16/$CF$3</f>
        <v>7.6190476190476197E-2</v>
      </c>
      <c r="CH238">
        <v>14</v>
      </c>
      <c r="CI238" s="5">
        <f>CH238/CH241</f>
        <v>6.363636363636363E-2</v>
      </c>
      <c r="CJ238" s="5">
        <f>14/$CJ$3</f>
        <v>6.363636363636363E-2</v>
      </c>
      <c r="CL238">
        <v>25</v>
      </c>
      <c r="CM238" s="5">
        <f>CL238/CL241</f>
        <v>7.8125E-2</v>
      </c>
      <c r="CN238" s="5">
        <f>25/$CN$3</f>
        <v>7.8125E-2</v>
      </c>
    </row>
    <row r="239" spans="1:92" x14ac:dyDescent="0.25">
      <c r="A239" s="1" t="s">
        <v>2149</v>
      </c>
      <c r="B239">
        <v>142</v>
      </c>
      <c r="C239" s="5">
        <f>B239/B241</f>
        <v>0.14199999999999999</v>
      </c>
      <c r="D239" s="5">
        <f>142/$D$3</f>
        <v>0.14199999999999999</v>
      </c>
      <c r="F239">
        <v>67</v>
      </c>
      <c r="G239" s="5">
        <f>F239/F241</f>
        <v>0.14194915254237289</v>
      </c>
      <c r="H239" s="5">
        <f>67/$H$3</f>
        <v>0.14194915254237289</v>
      </c>
      <c r="J239">
        <v>37</v>
      </c>
      <c r="K239" s="5">
        <f>J239/J241</f>
        <v>0.12982456140350876</v>
      </c>
      <c r="L239" s="5">
        <f>37/$L$3</f>
        <v>0.12982456140350876</v>
      </c>
      <c r="N239">
        <v>38</v>
      </c>
      <c r="O239" s="5">
        <f>N239/N241</f>
        <v>0.16379310344827586</v>
      </c>
      <c r="P239" s="5">
        <f>38/$P$3</f>
        <v>0.16379310344827586</v>
      </c>
      <c r="R239">
        <v>46</v>
      </c>
      <c r="S239" s="5">
        <f>R239/R241</f>
        <v>0.15646258503401361</v>
      </c>
      <c r="T239" s="5">
        <f>46/$T$3</f>
        <v>0.15646258503401361</v>
      </c>
      <c r="V239">
        <v>64</v>
      </c>
      <c r="W239" s="5">
        <f>V239/V241</f>
        <v>0.15384615384615385</v>
      </c>
      <c r="X239" s="5">
        <f>64/$X$3</f>
        <v>0.15384615384615385</v>
      </c>
      <c r="Z239">
        <v>58</v>
      </c>
      <c r="AA239" s="5">
        <f>Z239/Z241</f>
        <v>0.1380952380952381</v>
      </c>
      <c r="AB239" s="5">
        <f>58/$AB$3</f>
        <v>0.1380952380952381</v>
      </c>
      <c r="AD239">
        <v>70</v>
      </c>
      <c r="AE239" s="5">
        <f>AD239/AD241</f>
        <v>0.14000000000000001</v>
      </c>
      <c r="AF239" s="5">
        <f>70/$AF$3</f>
        <v>0.14000000000000001</v>
      </c>
      <c r="AH239">
        <v>72</v>
      </c>
      <c r="AI239" s="5">
        <f>AH239/AH241</f>
        <v>0.14399999999999999</v>
      </c>
      <c r="AJ239" s="5">
        <f>72/$AJ$3</f>
        <v>0.14399999999999999</v>
      </c>
      <c r="AL239">
        <v>18</v>
      </c>
      <c r="AM239" s="5">
        <f>AL239/AL241</f>
        <v>0.10650887573964497</v>
      </c>
      <c r="AN239" s="5">
        <f>18/$AN$3</f>
        <v>0.10650887573964497</v>
      </c>
      <c r="AP239">
        <v>45</v>
      </c>
      <c r="AQ239" s="5">
        <f>AP239/AP241</f>
        <v>0.14469453376205788</v>
      </c>
      <c r="AR239" s="5">
        <f>45/$AR$3</f>
        <v>0.14469453376205788</v>
      </c>
      <c r="AT239">
        <v>55</v>
      </c>
      <c r="AU239" s="5">
        <f>AT239/AT241</f>
        <v>0.14102564102564102</v>
      </c>
      <c r="AV239" s="5">
        <f>55/$AV$3</f>
        <v>0.14102564102564102</v>
      </c>
      <c r="AX239">
        <v>24</v>
      </c>
      <c r="AY239" s="5">
        <f>AX239/AX241</f>
        <v>0.18461538461538463</v>
      </c>
      <c r="AZ239" s="5">
        <f>24/$AZ$3</f>
        <v>0.18461538461538463</v>
      </c>
      <c r="BB239">
        <v>61</v>
      </c>
      <c r="BC239" s="5">
        <f>BB239/BB241</f>
        <v>0.15024630541871922</v>
      </c>
      <c r="BD239" s="5">
        <f>61/$BD$3</f>
        <v>0.15024630541871922</v>
      </c>
      <c r="BF239">
        <v>52</v>
      </c>
      <c r="BG239" s="5">
        <f>BF239/BF241</f>
        <v>0.13978494623655913</v>
      </c>
      <c r="BH239" s="5">
        <f>52/$BH$3</f>
        <v>0.13978494623655913</v>
      </c>
      <c r="BJ239">
        <v>29</v>
      </c>
      <c r="BK239" s="5">
        <f>BJ239/BJ241</f>
        <v>0.13063063063063063</v>
      </c>
      <c r="BL239" s="5">
        <f>29/$BL$3</f>
        <v>0.13063063063063063</v>
      </c>
      <c r="BN239">
        <v>51</v>
      </c>
      <c r="BO239" s="5">
        <f>BN239/BN241</f>
        <v>0.13421052631578947</v>
      </c>
      <c r="BP239" s="5">
        <f>51/$BP$3</f>
        <v>0.13421052631578947</v>
      </c>
      <c r="BR239">
        <v>48</v>
      </c>
      <c r="BS239" s="5">
        <f>BR239/BR241</f>
        <v>0.12972972972972974</v>
      </c>
      <c r="BT239" s="5">
        <f>48/$BT$3</f>
        <v>0.12972972972972974</v>
      </c>
      <c r="BV239">
        <v>43</v>
      </c>
      <c r="BW239" s="5">
        <f>BV239/BV241</f>
        <v>0.17199999999999999</v>
      </c>
      <c r="BX239" s="5">
        <f>43/$BX$3</f>
        <v>0.17199999999999999</v>
      </c>
      <c r="BZ239">
        <v>44</v>
      </c>
      <c r="CA239" s="5">
        <f>BZ239/BZ241</f>
        <v>0.17599999999999999</v>
      </c>
      <c r="CB239" s="5">
        <f>44/$CB$3</f>
        <v>0.17599999999999999</v>
      </c>
      <c r="CD239">
        <v>23</v>
      </c>
      <c r="CE239" s="5">
        <f>CD239/CD241</f>
        <v>0.10952380952380952</v>
      </c>
      <c r="CF239" s="5">
        <f>23/$CF$3</f>
        <v>0.10952380952380952</v>
      </c>
      <c r="CH239">
        <v>34</v>
      </c>
      <c r="CI239" s="5">
        <f>CH239/CH241</f>
        <v>0.15454545454545454</v>
      </c>
      <c r="CJ239" s="5">
        <f>34/$CJ$3</f>
        <v>0.15454545454545454</v>
      </c>
      <c r="CL239">
        <v>41</v>
      </c>
      <c r="CM239" s="5">
        <f>CL239/CL241</f>
        <v>0.12812499999999999</v>
      </c>
      <c r="CN239" s="5">
        <f>41/$CN$3</f>
        <v>0.12812499999999999</v>
      </c>
    </row>
    <row r="240" spans="1:92" x14ac:dyDescent="0.25">
      <c r="A240" s="1" t="s">
        <v>12</v>
      </c>
      <c r="B240">
        <v>522</v>
      </c>
      <c r="C240" s="5">
        <f>B240/B241</f>
        <v>0.52200000000000002</v>
      </c>
      <c r="D240" s="5">
        <f>522/$D$3</f>
        <v>0.52200000000000002</v>
      </c>
      <c r="F240">
        <v>227</v>
      </c>
      <c r="G240" s="5">
        <f>F240/F241</f>
        <v>0.4809322033898305</v>
      </c>
      <c r="H240" s="5">
        <f>227/$H$3</f>
        <v>0.4809322033898305</v>
      </c>
      <c r="J240">
        <v>122</v>
      </c>
      <c r="K240" s="5">
        <f>J240/J241</f>
        <v>0.42807017543859649</v>
      </c>
      <c r="L240" s="11">
        <f>122/$L$3</f>
        <v>0.42807017543859649</v>
      </c>
      <c r="N240">
        <v>86</v>
      </c>
      <c r="O240" s="5">
        <f>N240/N241</f>
        <v>0.37068965517241381</v>
      </c>
      <c r="P240" s="11">
        <f>86/$P$3</f>
        <v>0.37068965517241381</v>
      </c>
      <c r="R240">
        <v>128</v>
      </c>
      <c r="S240" s="5">
        <f>R240/R241</f>
        <v>0.43537414965986393</v>
      </c>
      <c r="T240" s="11">
        <f>128/$T$3</f>
        <v>0.43537414965986393</v>
      </c>
      <c r="V240">
        <v>191</v>
      </c>
      <c r="W240" s="5">
        <f>V240/V241</f>
        <v>0.45913461538461536</v>
      </c>
      <c r="X240" s="11">
        <f>191/$X$3</f>
        <v>0.45913461538461536</v>
      </c>
      <c r="Z240">
        <v>199</v>
      </c>
      <c r="AA240" s="5">
        <f>Z240/Z241</f>
        <v>0.47380952380952379</v>
      </c>
      <c r="AB240" s="5">
        <f>199/$AB$3</f>
        <v>0.47380952380952379</v>
      </c>
      <c r="AD240">
        <v>269</v>
      </c>
      <c r="AE240" s="5">
        <f>AD240/AD241</f>
        <v>0.53800000000000003</v>
      </c>
      <c r="AF240" s="5">
        <f>269/$AF$3</f>
        <v>0.53800000000000003</v>
      </c>
      <c r="AH240">
        <v>253</v>
      </c>
      <c r="AI240" s="5">
        <f>AH240/AH241</f>
        <v>0.50600000000000001</v>
      </c>
      <c r="AJ240" s="5">
        <f>253/$AJ$3</f>
        <v>0.50600000000000001</v>
      </c>
      <c r="AL240">
        <v>83</v>
      </c>
      <c r="AM240" s="5">
        <f>AL240/AL241</f>
        <v>0.4911242603550296</v>
      </c>
      <c r="AN240" s="5">
        <f>83/$AN$3</f>
        <v>0.4911242603550296</v>
      </c>
      <c r="AP240">
        <v>160</v>
      </c>
      <c r="AQ240" s="5">
        <f>AP240/AP241</f>
        <v>0.51446945337620575</v>
      </c>
      <c r="AR240" s="5">
        <f>160/$AR$3</f>
        <v>0.51446945337620575</v>
      </c>
      <c r="AT240">
        <v>207</v>
      </c>
      <c r="AU240" s="5">
        <f>AT240/AT241</f>
        <v>0.53076923076923077</v>
      </c>
      <c r="AV240" s="5">
        <f>207/$AV$3</f>
        <v>0.53076923076923077</v>
      </c>
      <c r="AX240">
        <v>72</v>
      </c>
      <c r="AY240" s="5">
        <f>AX240/AX241</f>
        <v>0.55384615384615388</v>
      </c>
      <c r="AZ240" s="5">
        <f>72/$AZ$3</f>
        <v>0.55384615384615388</v>
      </c>
      <c r="BB240">
        <v>198</v>
      </c>
      <c r="BC240" s="5">
        <f>BB240/BB241</f>
        <v>0.48768472906403942</v>
      </c>
      <c r="BD240" s="5">
        <f>198/$BD$3</f>
        <v>0.48768472906403942</v>
      </c>
      <c r="BF240">
        <v>196</v>
      </c>
      <c r="BG240" s="5">
        <f>BF240/BF241</f>
        <v>0.5268817204301075</v>
      </c>
      <c r="BH240" s="5">
        <f>196/$BH$3</f>
        <v>0.5268817204301075</v>
      </c>
      <c r="BJ240">
        <v>128</v>
      </c>
      <c r="BK240" s="5">
        <f>BJ240/BJ241</f>
        <v>0.57657657657657657</v>
      </c>
      <c r="BL240" s="5">
        <f>128/$BL$3</f>
        <v>0.57657657657657657</v>
      </c>
      <c r="BN240">
        <v>194</v>
      </c>
      <c r="BO240" s="5">
        <f>BN240/BN241</f>
        <v>0.51052631578947372</v>
      </c>
      <c r="BP240" s="5">
        <f>194/$BP$3</f>
        <v>0.51052631578947372</v>
      </c>
      <c r="BR240">
        <v>206</v>
      </c>
      <c r="BS240" s="5">
        <f>BR240/BR241</f>
        <v>0.55675675675675673</v>
      </c>
      <c r="BT240" s="5">
        <f>206/$BT$3</f>
        <v>0.55675675675675673</v>
      </c>
      <c r="BV240">
        <v>122</v>
      </c>
      <c r="BW240" s="5">
        <f>BV240/BV241</f>
        <v>0.48799999999999999</v>
      </c>
      <c r="BX240" s="5">
        <f>122/$BX$3</f>
        <v>0.48799999999999999</v>
      </c>
      <c r="BZ240">
        <v>122</v>
      </c>
      <c r="CA240" s="5">
        <f>BZ240/BZ241</f>
        <v>0.48799999999999999</v>
      </c>
      <c r="CB240" s="5">
        <f>122/$CB$3</f>
        <v>0.48799999999999999</v>
      </c>
      <c r="CD240">
        <v>118</v>
      </c>
      <c r="CE240" s="5">
        <f>CD240/CD241</f>
        <v>0.56190476190476191</v>
      </c>
      <c r="CF240" s="5">
        <f>118/$CF$3</f>
        <v>0.56190476190476191</v>
      </c>
      <c r="CH240">
        <v>108</v>
      </c>
      <c r="CI240" s="5">
        <f>CH240/CH241</f>
        <v>0.49090909090909091</v>
      </c>
      <c r="CJ240" s="5">
        <f>108/$CJ$3</f>
        <v>0.49090909090909091</v>
      </c>
      <c r="CL240">
        <v>174</v>
      </c>
      <c r="CM240" s="5">
        <f>CL240/CL241</f>
        <v>0.54374999999999996</v>
      </c>
      <c r="CN240" s="5">
        <f>174/$CN$3</f>
        <v>0.54374999999999996</v>
      </c>
    </row>
    <row r="241" spans="1:92" s="6" customFormat="1" x14ac:dyDescent="0.25">
      <c r="A241" s="7" t="s">
        <v>13</v>
      </c>
      <c r="B241" s="6">
        <v>1000</v>
      </c>
      <c r="F241" s="6">
        <v>472</v>
      </c>
      <c r="J241" s="6">
        <v>285</v>
      </c>
      <c r="N241" s="6">
        <v>232</v>
      </c>
      <c r="R241" s="6">
        <v>294</v>
      </c>
      <c r="V241" s="6">
        <v>416</v>
      </c>
      <c r="Z241" s="6">
        <v>420</v>
      </c>
      <c r="AD241" s="6">
        <v>500</v>
      </c>
      <c r="AH241" s="6">
        <v>500</v>
      </c>
      <c r="AL241" s="6">
        <v>169</v>
      </c>
      <c r="AP241" s="6">
        <v>311</v>
      </c>
      <c r="AT241" s="6">
        <v>390</v>
      </c>
      <c r="AX241" s="6">
        <v>130</v>
      </c>
      <c r="BB241" s="6">
        <v>406</v>
      </c>
      <c r="BF241" s="6">
        <v>372</v>
      </c>
      <c r="BJ241" s="6">
        <v>222</v>
      </c>
      <c r="BN241" s="6">
        <v>380</v>
      </c>
      <c r="BR241" s="6">
        <v>370</v>
      </c>
      <c r="BV241" s="6">
        <v>250</v>
      </c>
      <c r="BZ241" s="6">
        <v>250</v>
      </c>
      <c r="CD241" s="6">
        <v>210</v>
      </c>
      <c r="CH241" s="6">
        <v>220</v>
      </c>
      <c r="CL241" s="6">
        <v>320</v>
      </c>
    </row>
    <row r="242" spans="1:92" hidden="1" x14ac:dyDescent="0.25">
      <c r="A242" s="8" t="s">
        <v>14</v>
      </c>
      <c r="B242">
        <v>0</v>
      </c>
      <c r="F242">
        <v>0</v>
      </c>
      <c r="J242">
        <v>0</v>
      </c>
      <c r="N242">
        <v>0</v>
      </c>
      <c r="R242">
        <v>0</v>
      </c>
      <c r="V242">
        <v>0</v>
      </c>
      <c r="Z242">
        <v>0</v>
      </c>
      <c r="AD242">
        <v>0</v>
      </c>
      <c r="AH242">
        <v>0</v>
      </c>
      <c r="AL242">
        <v>0</v>
      </c>
      <c r="AP242">
        <v>0</v>
      </c>
      <c r="AT242">
        <v>0</v>
      </c>
      <c r="AX242">
        <v>0</v>
      </c>
      <c r="BB242">
        <v>0</v>
      </c>
      <c r="BF242">
        <v>0</v>
      </c>
      <c r="BJ242">
        <v>0</v>
      </c>
      <c r="BN242">
        <v>0</v>
      </c>
      <c r="BR242">
        <v>0</v>
      </c>
      <c r="BV242">
        <v>0</v>
      </c>
      <c r="BZ242">
        <v>0</v>
      </c>
      <c r="CD242">
        <v>0</v>
      </c>
      <c r="CH242">
        <v>0</v>
      </c>
      <c r="CL242">
        <v>0</v>
      </c>
    </row>
    <row r="243" spans="1:92" hidden="1" x14ac:dyDescent="0.25">
      <c r="A243" s="8" t="s">
        <v>15</v>
      </c>
      <c r="B243">
        <v>0</v>
      </c>
      <c r="F243">
        <v>0</v>
      </c>
      <c r="J243">
        <v>0</v>
      </c>
      <c r="N243">
        <v>0</v>
      </c>
      <c r="R243">
        <v>0</v>
      </c>
      <c r="V243">
        <v>0</v>
      </c>
      <c r="Z243">
        <v>0</v>
      </c>
      <c r="AD243">
        <v>0</v>
      </c>
      <c r="AH243">
        <v>0</v>
      </c>
      <c r="AL243">
        <v>0</v>
      </c>
      <c r="AP243">
        <v>0</v>
      </c>
      <c r="AT243">
        <v>0</v>
      </c>
      <c r="AX243">
        <v>0</v>
      </c>
      <c r="BB243">
        <v>0</v>
      </c>
      <c r="BF243">
        <v>0</v>
      </c>
      <c r="BJ243">
        <v>0</v>
      </c>
      <c r="BN243">
        <v>0</v>
      </c>
      <c r="BR243">
        <v>0</v>
      </c>
      <c r="BV243">
        <v>0</v>
      </c>
      <c r="BZ243">
        <v>0</v>
      </c>
      <c r="CD243">
        <v>0</v>
      </c>
      <c r="CH243">
        <v>0</v>
      </c>
      <c r="CL243">
        <v>0</v>
      </c>
    </row>
    <row r="245" spans="1:92" x14ac:dyDescent="0.25">
      <c r="AN245" s="2" t="s">
        <v>5</v>
      </c>
      <c r="AR245" s="2" t="s">
        <v>6</v>
      </c>
      <c r="AV245" s="2" t="s">
        <v>7</v>
      </c>
      <c r="AZ245" s="2" t="s">
        <v>8</v>
      </c>
      <c r="BD245" s="2" t="s">
        <v>5</v>
      </c>
      <c r="BH245" s="2" t="s">
        <v>6</v>
      </c>
      <c r="BL245" s="2" t="s">
        <v>7</v>
      </c>
      <c r="BP245" s="2" t="s">
        <v>5</v>
      </c>
      <c r="BT245" s="2" t="s">
        <v>6</v>
      </c>
      <c r="BX245" s="2" t="s">
        <v>7</v>
      </c>
      <c r="CB245" s="2" t="s">
        <v>5</v>
      </c>
      <c r="CF245" s="2" t="s">
        <v>6</v>
      </c>
      <c r="CJ245" s="2" t="s">
        <v>7</v>
      </c>
      <c r="CN245" s="2" t="s">
        <v>8</v>
      </c>
    </row>
    <row r="246" spans="1:92" s="3" customFormat="1" x14ac:dyDescent="0.25">
      <c r="A246" s="3" t="s">
        <v>2144</v>
      </c>
      <c r="D246" s="4" t="s">
        <v>10</v>
      </c>
      <c r="H246" s="4" t="s">
        <v>10</v>
      </c>
      <c r="L246" s="4" t="s">
        <v>10</v>
      </c>
      <c r="P246" s="4" t="s">
        <v>10</v>
      </c>
      <c r="T246" s="4" t="s">
        <v>10</v>
      </c>
      <c r="X246" s="4" t="s">
        <v>10</v>
      </c>
      <c r="AB246" s="4" t="s">
        <v>10</v>
      </c>
      <c r="AF246" s="4" t="s">
        <v>10</v>
      </c>
      <c r="AJ246" s="4" t="s">
        <v>10</v>
      </c>
      <c r="AN246" s="4" t="s">
        <v>10</v>
      </c>
      <c r="AR246" s="4" t="s">
        <v>10</v>
      </c>
      <c r="AV246" s="4" t="s">
        <v>10</v>
      </c>
      <c r="AZ246" s="4" t="s">
        <v>10</v>
      </c>
      <c r="BD246" s="4" t="s">
        <v>10</v>
      </c>
      <c r="BH246" s="4" t="s">
        <v>10</v>
      </c>
      <c r="BL246" s="4" t="s">
        <v>10</v>
      </c>
      <c r="BP246" s="4" t="s">
        <v>10</v>
      </c>
      <c r="BT246" s="4" t="s">
        <v>10</v>
      </c>
      <c r="BX246" s="4" t="s">
        <v>10</v>
      </c>
      <c r="CB246" s="4" t="s">
        <v>10</v>
      </c>
      <c r="CF246" s="4" t="s">
        <v>10</v>
      </c>
      <c r="CJ246" s="4" t="s">
        <v>10</v>
      </c>
      <c r="CN246" s="4" t="s">
        <v>10</v>
      </c>
    </row>
    <row r="247" spans="1:92" x14ac:dyDescent="0.25">
      <c r="A247" s="1" t="s">
        <v>48</v>
      </c>
      <c r="B247">
        <v>38</v>
      </c>
      <c r="C247" s="5">
        <f>B247/B255</f>
        <v>3.7999999999999999E-2</v>
      </c>
      <c r="D247" s="5">
        <f>38/$D$3</f>
        <v>3.7999999999999999E-2</v>
      </c>
      <c r="F247">
        <v>18</v>
      </c>
      <c r="G247" s="5">
        <f>F247/F255</f>
        <v>3.8135593220338986E-2</v>
      </c>
      <c r="H247" s="5">
        <f>18/$H$3</f>
        <v>3.8135593220338986E-2</v>
      </c>
      <c r="J247">
        <v>17</v>
      </c>
      <c r="K247" s="5">
        <f>J247/J255</f>
        <v>5.9649122807017542E-2</v>
      </c>
      <c r="L247" s="5">
        <f>17/$L$3</f>
        <v>5.9649122807017542E-2</v>
      </c>
      <c r="N247">
        <v>13</v>
      </c>
      <c r="O247" s="5">
        <f>N247/N255</f>
        <v>5.6034482758620691E-2</v>
      </c>
      <c r="P247" s="5">
        <f>13/$P$3</f>
        <v>5.6034482758620691E-2</v>
      </c>
      <c r="R247">
        <v>13</v>
      </c>
      <c r="S247" s="5">
        <f>R247/R255</f>
        <v>4.4217687074829932E-2</v>
      </c>
      <c r="T247" s="5">
        <f>13/$T$3</f>
        <v>4.4217687074829932E-2</v>
      </c>
      <c r="V247">
        <v>15</v>
      </c>
      <c r="W247" s="5">
        <f>V247/V255</f>
        <v>3.6057692307692304E-2</v>
      </c>
      <c r="X247" s="5">
        <f>15/$X$3</f>
        <v>3.6057692307692304E-2</v>
      </c>
      <c r="Z247">
        <v>16</v>
      </c>
      <c r="AA247" s="5">
        <f>Z247/Z255</f>
        <v>3.8095238095238099E-2</v>
      </c>
      <c r="AB247" s="5">
        <f>16/$AB$3</f>
        <v>3.8095238095238099E-2</v>
      </c>
      <c r="AD247">
        <v>15</v>
      </c>
      <c r="AE247" s="5">
        <f>AD247/AD255</f>
        <v>0.03</v>
      </c>
      <c r="AF247" s="5">
        <f>15/$AF$3</f>
        <v>0.03</v>
      </c>
      <c r="AH247">
        <v>23</v>
      </c>
      <c r="AI247" s="5">
        <f>AH247/AH255</f>
        <v>4.5999999999999999E-2</v>
      </c>
      <c r="AJ247" s="5">
        <f>23/$AJ$3</f>
        <v>4.5999999999999999E-2</v>
      </c>
      <c r="AL247">
        <v>13</v>
      </c>
      <c r="AM247" s="5">
        <f>AL247/AL255</f>
        <v>7.6923076923076927E-2</v>
      </c>
      <c r="AN247" s="5">
        <f>13/$AN$3</f>
        <v>7.6923076923076927E-2</v>
      </c>
      <c r="AO247" s="12"/>
      <c r="AP247">
        <v>12</v>
      </c>
      <c r="AQ247" s="5">
        <f>AP247/AP255</f>
        <v>3.8585209003215437E-2</v>
      </c>
      <c r="AR247" s="5">
        <f>12/$AR$3</f>
        <v>3.8585209003215437E-2</v>
      </c>
      <c r="AT247">
        <v>8</v>
      </c>
      <c r="AU247" s="5">
        <f>AT247/AT255</f>
        <v>2.0512820512820513E-2</v>
      </c>
      <c r="AV247" s="5">
        <f>8/$AV$3</f>
        <v>2.0512820512820513E-2</v>
      </c>
      <c r="AX247">
        <v>5</v>
      </c>
      <c r="AY247" s="5">
        <f>AX247/AX255</f>
        <v>3.8461538461538464E-2</v>
      </c>
      <c r="AZ247" s="5">
        <f>5/$AZ$3</f>
        <v>3.8461538461538464E-2</v>
      </c>
      <c r="BB247">
        <v>21</v>
      </c>
      <c r="BC247" s="5">
        <f>BB247/BB255</f>
        <v>5.1724137931034482E-2</v>
      </c>
      <c r="BD247" s="5">
        <f>21/$BD$3</f>
        <v>5.1724137931034482E-2</v>
      </c>
      <c r="BF247">
        <v>9</v>
      </c>
      <c r="BG247" s="5">
        <f>BF247/BF255</f>
        <v>2.4193548387096774E-2</v>
      </c>
      <c r="BH247" s="5">
        <f>9/$BH$3</f>
        <v>2.4193548387096774E-2</v>
      </c>
      <c r="BJ247">
        <v>8</v>
      </c>
      <c r="BK247" s="5">
        <f>BJ247/BJ255</f>
        <v>3.6036036036036036E-2</v>
      </c>
      <c r="BL247" s="5">
        <f>8/$BL$3</f>
        <v>3.6036036036036036E-2</v>
      </c>
      <c r="BN247">
        <v>17</v>
      </c>
      <c r="BO247" s="5">
        <f>BN247/BN255</f>
        <v>4.4736842105263158E-2</v>
      </c>
      <c r="BP247" s="5">
        <f>17/$BP$3</f>
        <v>4.4736842105263158E-2</v>
      </c>
      <c r="BR247">
        <v>16</v>
      </c>
      <c r="BS247" s="5">
        <f>BR247/BR255</f>
        <v>4.3243243243243246E-2</v>
      </c>
      <c r="BT247" s="5">
        <f>16/$BT$3</f>
        <v>4.3243243243243246E-2</v>
      </c>
      <c r="BV247">
        <v>5</v>
      </c>
      <c r="BW247" s="5">
        <f>BV247/BV255</f>
        <v>0.02</v>
      </c>
      <c r="BX247" s="5">
        <f>5/$BX$3</f>
        <v>0.02</v>
      </c>
      <c r="BZ247">
        <v>11</v>
      </c>
      <c r="CA247" s="5">
        <f>BZ247/BZ255</f>
        <v>4.3999999999999997E-2</v>
      </c>
      <c r="CB247" s="5">
        <f>11/$CB$3</f>
        <v>4.3999999999999997E-2</v>
      </c>
      <c r="CD247">
        <v>7</v>
      </c>
      <c r="CE247" s="5">
        <f>CD247/CD255</f>
        <v>3.3333333333333333E-2</v>
      </c>
      <c r="CF247" s="5">
        <f>7/$CF$3</f>
        <v>3.3333333333333333E-2</v>
      </c>
      <c r="CH247">
        <v>5</v>
      </c>
      <c r="CI247" s="5">
        <f>CH247/CH255</f>
        <v>2.2727272727272728E-2</v>
      </c>
      <c r="CJ247" s="5">
        <f>5/$CJ$3</f>
        <v>2.2727272727272728E-2</v>
      </c>
      <c r="CL247">
        <v>15</v>
      </c>
      <c r="CM247" s="5">
        <f>CL247/CL255</f>
        <v>4.6875E-2</v>
      </c>
      <c r="CN247" s="5">
        <f>15/$CN$3</f>
        <v>4.6875E-2</v>
      </c>
    </row>
    <row r="248" spans="1:92" x14ac:dyDescent="0.25">
      <c r="A248" s="1" t="s">
        <v>1063</v>
      </c>
      <c r="B248">
        <v>266</v>
      </c>
      <c r="C248" s="5">
        <f>B248/B255</f>
        <v>0.26600000000000001</v>
      </c>
      <c r="D248" s="5">
        <f>266/$D$3</f>
        <v>0.26600000000000001</v>
      </c>
      <c r="F248">
        <v>176</v>
      </c>
      <c r="G248" s="5">
        <f>F248/F255</f>
        <v>0.3728813559322034</v>
      </c>
      <c r="H248" s="10">
        <f>176/$H$3</f>
        <v>0.3728813559322034</v>
      </c>
      <c r="J248">
        <v>103</v>
      </c>
      <c r="K248" s="5">
        <f>J248/J255</f>
        <v>0.36140350877192984</v>
      </c>
      <c r="L248" s="10">
        <f>103/$L$3</f>
        <v>0.36140350877192984</v>
      </c>
      <c r="N248">
        <v>93</v>
      </c>
      <c r="O248" s="5">
        <f>N248/N255</f>
        <v>0.40086206896551724</v>
      </c>
      <c r="P248" s="10">
        <f>93/$P$3</f>
        <v>0.40086206896551724</v>
      </c>
      <c r="R248">
        <v>122</v>
      </c>
      <c r="S248" s="5">
        <f>R248/R255</f>
        <v>0.41496598639455784</v>
      </c>
      <c r="T248" s="10">
        <f>122/$T$3</f>
        <v>0.41496598639455784</v>
      </c>
      <c r="V248">
        <v>167</v>
      </c>
      <c r="W248" s="5">
        <f>V248/V255</f>
        <v>0.40144230769230771</v>
      </c>
      <c r="X248" s="10">
        <f>167/$X$3</f>
        <v>0.40144230769230771</v>
      </c>
      <c r="Z248">
        <v>168</v>
      </c>
      <c r="AA248" s="5">
        <f>Z248/Z255</f>
        <v>0.4</v>
      </c>
      <c r="AB248" s="10">
        <f>168/$AB$3</f>
        <v>0.4</v>
      </c>
      <c r="AD248">
        <v>133</v>
      </c>
      <c r="AE248" s="5">
        <f>AD248/AD255</f>
        <v>0.26600000000000001</v>
      </c>
      <c r="AF248" s="5">
        <f>133/$AF$3</f>
        <v>0.26600000000000001</v>
      </c>
      <c r="AH248">
        <v>133</v>
      </c>
      <c r="AI248" s="5">
        <f>AH248/AH255</f>
        <v>0.26600000000000001</v>
      </c>
      <c r="AJ248" s="5">
        <f>133/$AJ$3</f>
        <v>0.26600000000000001</v>
      </c>
      <c r="AL248">
        <v>47</v>
      </c>
      <c r="AM248" s="5">
        <f>AL248/AL255</f>
        <v>0.27810650887573962</v>
      </c>
      <c r="AN248" s="5">
        <f>47/$AN$3</f>
        <v>0.27810650887573962</v>
      </c>
      <c r="AP248">
        <v>87</v>
      </c>
      <c r="AQ248" s="5">
        <f>AP248/AP255</f>
        <v>0.27974276527331188</v>
      </c>
      <c r="AR248" s="5">
        <f>87/$AR$3</f>
        <v>0.27974276527331188</v>
      </c>
      <c r="AT248">
        <v>110</v>
      </c>
      <c r="AU248" s="5">
        <f>AT248/AT255</f>
        <v>0.28205128205128205</v>
      </c>
      <c r="AV248" s="5">
        <f>110/$AV$3</f>
        <v>0.28205128205128205</v>
      </c>
      <c r="AW248" s="12"/>
      <c r="AX248">
        <v>22</v>
      </c>
      <c r="AY248" s="5">
        <f>AX248/AX255</f>
        <v>0.16923076923076924</v>
      </c>
      <c r="AZ248" s="11">
        <f>22/$AZ$3</f>
        <v>0.16923076923076924</v>
      </c>
      <c r="BB248">
        <v>108</v>
      </c>
      <c r="BC248" s="5">
        <f>BB248/BB255</f>
        <v>0.26600985221674878</v>
      </c>
      <c r="BD248" s="5">
        <f>108/$BD$3</f>
        <v>0.26600985221674878</v>
      </c>
      <c r="BF248">
        <v>98</v>
      </c>
      <c r="BG248" s="5">
        <f>BF248/BF255</f>
        <v>0.26344086021505375</v>
      </c>
      <c r="BH248" s="5">
        <f>98/$BH$3</f>
        <v>0.26344086021505375</v>
      </c>
      <c r="BJ248">
        <v>60</v>
      </c>
      <c r="BK248" s="5">
        <f>BJ248/BJ255</f>
        <v>0.27027027027027029</v>
      </c>
      <c r="BL248" s="5">
        <f>60/$BL$3</f>
        <v>0.27027027027027029</v>
      </c>
      <c r="BN248">
        <v>95</v>
      </c>
      <c r="BO248" s="5">
        <f>BN248/BN255</f>
        <v>0.25</v>
      </c>
      <c r="BP248" s="5">
        <f>95/$BP$3</f>
        <v>0.25</v>
      </c>
      <c r="BR248">
        <v>90</v>
      </c>
      <c r="BS248" s="5">
        <f>BR248/BR255</f>
        <v>0.24324324324324326</v>
      </c>
      <c r="BT248" s="5">
        <f>90/$BT$3</f>
        <v>0.24324324324324326</v>
      </c>
      <c r="BV248">
        <v>81</v>
      </c>
      <c r="BW248" s="5">
        <f>BV248/BV255</f>
        <v>0.32400000000000001</v>
      </c>
      <c r="BX248" s="10">
        <f>81/$BX$3</f>
        <v>0.32400000000000001</v>
      </c>
      <c r="BZ248">
        <v>58</v>
      </c>
      <c r="CA248" s="5">
        <f>BZ248/BZ255</f>
        <v>0.23200000000000001</v>
      </c>
      <c r="CB248" s="5">
        <f>58/$CB$3</f>
        <v>0.23200000000000001</v>
      </c>
      <c r="CD248">
        <v>52</v>
      </c>
      <c r="CE248" s="5">
        <f>CD248/CD255</f>
        <v>0.24761904761904763</v>
      </c>
      <c r="CF248" s="5">
        <f>52/$CF$3</f>
        <v>0.24761904761904763</v>
      </c>
      <c r="CH248">
        <v>70</v>
      </c>
      <c r="CI248" s="5">
        <f>CH248/CH255</f>
        <v>0.31818181818181818</v>
      </c>
      <c r="CJ248" s="10">
        <f>70/$CJ$3</f>
        <v>0.31818181818181818</v>
      </c>
      <c r="CL248">
        <v>86</v>
      </c>
      <c r="CM248" s="5">
        <f>CL248/CL255</f>
        <v>0.26874999999999999</v>
      </c>
      <c r="CN248" s="5">
        <f>86/$CN$3</f>
        <v>0.26874999999999999</v>
      </c>
    </row>
    <row r="249" spans="1:92" x14ac:dyDescent="0.25">
      <c r="A249" s="1" t="s">
        <v>2145</v>
      </c>
      <c r="B249">
        <v>29</v>
      </c>
      <c r="C249" s="5">
        <f>B249/B255</f>
        <v>2.9000000000000001E-2</v>
      </c>
      <c r="D249" s="5">
        <f>29/$D$3</f>
        <v>2.9000000000000001E-2</v>
      </c>
      <c r="F249">
        <v>12</v>
      </c>
      <c r="G249" s="5">
        <f>F249/F255</f>
        <v>2.5423728813559324E-2</v>
      </c>
      <c r="H249" s="5">
        <f>12/$H$3</f>
        <v>2.5423728813559324E-2</v>
      </c>
      <c r="J249">
        <v>13</v>
      </c>
      <c r="K249" s="5">
        <f>J249/J255</f>
        <v>4.5614035087719301E-2</v>
      </c>
      <c r="L249" s="5">
        <f>13/$L$3</f>
        <v>4.5614035087719301E-2</v>
      </c>
      <c r="N249">
        <v>9</v>
      </c>
      <c r="O249" s="5">
        <f>N249/N255</f>
        <v>3.8793103448275863E-2</v>
      </c>
      <c r="P249" s="5">
        <f>9/$P$3</f>
        <v>3.8793103448275863E-2</v>
      </c>
      <c r="R249">
        <v>9</v>
      </c>
      <c r="S249" s="5">
        <f>R249/R255</f>
        <v>3.0612244897959183E-2</v>
      </c>
      <c r="T249" s="5">
        <f>9/$T$3</f>
        <v>3.0612244897959183E-2</v>
      </c>
      <c r="V249">
        <v>11</v>
      </c>
      <c r="W249" s="5">
        <f>V249/V255</f>
        <v>2.6442307692307692E-2</v>
      </c>
      <c r="X249" s="5">
        <f>11/$X$3</f>
        <v>2.6442307692307692E-2</v>
      </c>
      <c r="Z249">
        <v>11</v>
      </c>
      <c r="AA249" s="5">
        <f>Z249/Z255</f>
        <v>2.6190476190476191E-2</v>
      </c>
      <c r="AB249" s="5">
        <f>11/$AB$3</f>
        <v>2.6190476190476191E-2</v>
      </c>
      <c r="AD249">
        <v>13</v>
      </c>
      <c r="AE249" s="5">
        <f>AD249/AD255</f>
        <v>2.5999999999999999E-2</v>
      </c>
      <c r="AF249" s="5">
        <f>13/$AF$3</f>
        <v>2.5999999999999999E-2</v>
      </c>
      <c r="AH249">
        <v>16</v>
      </c>
      <c r="AI249" s="5">
        <f>AH249/AH255</f>
        <v>3.2000000000000001E-2</v>
      </c>
      <c r="AJ249" s="5">
        <f>16/$AJ$3</f>
        <v>3.2000000000000001E-2</v>
      </c>
      <c r="AL249">
        <v>8</v>
      </c>
      <c r="AM249" s="5">
        <f>AL249/AL255</f>
        <v>4.7337278106508875E-2</v>
      </c>
      <c r="AN249" s="5">
        <f>8/$AN$3</f>
        <v>4.7337278106508875E-2</v>
      </c>
      <c r="AP249">
        <v>10</v>
      </c>
      <c r="AQ249" s="5">
        <f>AP249/AP255</f>
        <v>3.215434083601286E-2</v>
      </c>
      <c r="AR249" s="5">
        <f>10/$AR$3</f>
        <v>3.215434083601286E-2</v>
      </c>
      <c r="AT249">
        <v>8</v>
      </c>
      <c r="AU249" s="5">
        <f>AT249/AT255</f>
        <v>2.0512820512820513E-2</v>
      </c>
      <c r="AV249" s="5">
        <f>8/$AV$3</f>
        <v>2.0512820512820513E-2</v>
      </c>
      <c r="AX249">
        <v>3</v>
      </c>
      <c r="AY249" s="5">
        <f>AX249/AX255</f>
        <v>2.3076923076923078E-2</v>
      </c>
      <c r="AZ249" s="5">
        <f>3/$AZ$3</f>
        <v>2.3076923076923078E-2</v>
      </c>
      <c r="BB249">
        <v>14</v>
      </c>
      <c r="BC249" s="5">
        <f>BB249/BB255</f>
        <v>3.4482758620689655E-2</v>
      </c>
      <c r="BD249" s="5">
        <f>14/$BD$3</f>
        <v>3.4482758620689655E-2</v>
      </c>
      <c r="BF249">
        <v>10</v>
      </c>
      <c r="BG249" s="5">
        <f>BF249/BF255</f>
        <v>2.6881720430107527E-2</v>
      </c>
      <c r="BH249" s="5">
        <f>10/$BH$3</f>
        <v>2.6881720430107527E-2</v>
      </c>
      <c r="BJ249">
        <v>5</v>
      </c>
      <c r="BK249" s="5">
        <f>BJ249/BJ255</f>
        <v>2.2522522522522521E-2</v>
      </c>
      <c r="BL249" s="5">
        <f>5/$BL$3</f>
        <v>2.2522522522522521E-2</v>
      </c>
      <c r="BN249">
        <v>16</v>
      </c>
      <c r="BO249" s="5">
        <f>BN249/BN255</f>
        <v>4.2105263157894736E-2</v>
      </c>
      <c r="BP249" s="5">
        <f>16/$BP$3</f>
        <v>4.2105263157894736E-2</v>
      </c>
      <c r="BR249">
        <v>10</v>
      </c>
      <c r="BS249" s="5">
        <f>BR249/BR255</f>
        <v>2.7027027027027029E-2</v>
      </c>
      <c r="BT249" s="5">
        <f>10/$BT$3</f>
        <v>2.7027027027027029E-2</v>
      </c>
      <c r="BV249">
        <v>3</v>
      </c>
      <c r="BW249" s="5">
        <f>BV249/BV255</f>
        <v>1.2E-2</v>
      </c>
      <c r="BX249" s="5">
        <f>3/$BX$3</f>
        <v>1.2E-2</v>
      </c>
      <c r="BZ249">
        <v>7</v>
      </c>
      <c r="CA249" s="5">
        <f>BZ249/BZ255</f>
        <v>2.8000000000000001E-2</v>
      </c>
      <c r="CB249" s="5">
        <f>7/$CB$3</f>
        <v>2.8000000000000001E-2</v>
      </c>
      <c r="CD249">
        <v>6</v>
      </c>
      <c r="CE249" s="5">
        <f>CD249/CD255</f>
        <v>2.8571428571428571E-2</v>
      </c>
      <c r="CF249" s="5">
        <f>6/$CF$3</f>
        <v>2.8571428571428571E-2</v>
      </c>
      <c r="CH249">
        <v>9</v>
      </c>
      <c r="CI249" s="5">
        <f>CH249/CH255</f>
        <v>4.0909090909090909E-2</v>
      </c>
      <c r="CJ249" s="5">
        <f>9/$CJ$3</f>
        <v>4.0909090909090909E-2</v>
      </c>
      <c r="CL249">
        <v>7</v>
      </c>
      <c r="CM249" s="5">
        <f>CL249/CL255</f>
        <v>2.1874999999999999E-2</v>
      </c>
      <c r="CN249" s="5">
        <f>7/$CN$3</f>
        <v>2.1874999999999999E-2</v>
      </c>
    </row>
    <row r="250" spans="1:92" x14ac:dyDescent="0.25">
      <c r="A250" s="1" t="s">
        <v>2146</v>
      </c>
      <c r="B250">
        <v>75</v>
      </c>
      <c r="C250" s="5">
        <f>B250/B255</f>
        <v>7.4999999999999997E-2</v>
      </c>
      <c r="D250" s="5">
        <f>75/$D$3</f>
        <v>7.4999999999999997E-2</v>
      </c>
      <c r="F250">
        <v>42</v>
      </c>
      <c r="G250" s="5">
        <f>F250/F255</f>
        <v>8.8983050847457626E-2</v>
      </c>
      <c r="H250" s="5">
        <f>42/$H$3</f>
        <v>8.8983050847457626E-2</v>
      </c>
      <c r="J250">
        <v>23</v>
      </c>
      <c r="K250" s="5">
        <f>J250/J255</f>
        <v>8.0701754385964913E-2</v>
      </c>
      <c r="L250" s="5">
        <f>23/$L$3</f>
        <v>8.0701754385964913E-2</v>
      </c>
      <c r="N250">
        <v>25</v>
      </c>
      <c r="O250" s="5">
        <f>N250/N255</f>
        <v>0.10775862068965517</v>
      </c>
      <c r="P250" s="5">
        <f>25/$P$3</f>
        <v>0.10775862068965517</v>
      </c>
      <c r="R250">
        <v>31</v>
      </c>
      <c r="S250" s="5">
        <f>R250/R255</f>
        <v>0.10544217687074831</v>
      </c>
      <c r="T250" s="5">
        <f>31/$T$3</f>
        <v>0.10544217687074831</v>
      </c>
      <c r="V250">
        <v>36</v>
      </c>
      <c r="W250" s="5">
        <f>V250/V255</f>
        <v>8.6538461538461536E-2</v>
      </c>
      <c r="X250" s="5">
        <f>36/$X$3</f>
        <v>8.6538461538461536E-2</v>
      </c>
      <c r="Z250">
        <v>38</v>
      </c>
      <c r="AA250" s="5">
        <f>Z250/Z255</f>
        <v>9.0476190476190474E-2</v>
      </c>
      <c r="AB250" s="5">
        <f>38/$AB$3</f>
        <v>9.0476190476190474E-2</v>
      </c>
      <c r="AD250">
        <v>42</v>
      </c>
      <c r="AE250" s="5">
        <f>AD250/AD255</f>
        <v>8.4000000000000005E-2</v>
      </c>
      <c r="AF250" s="5">
        <f>42/$AF$3</f>
        <v>8.4000000000000005E-2</v>
      </c>
      <c r="AH250">
        <v>33</v>
      </c>
      <c r="AI250" s="5">
        <f>AH250/AH255</f>
        <v>6.6000000000000003E-2</v>
      </c>
      <c r="AJ250" s="5">
        <f>33/$AJ$3</f>
        <v>6.6000000000000003E-2</v>
      </c>
      <c r="AL250">
        <v>15</v>
      </c>
      <c r="AM250" s="5">
        <f>AL250/AL255</f>
        <v>8.8757396449704137E-2</v>
      </c>
      <c r="AN250" s="5">
        <f>15/$AN$3</f>
        <v>8.8757396449704137E-2</v>
      </c>
      <c r="AP250">
        <v>24</v>
      </c>
      <c r="AQ250" s="5">
        <f>AP250/AP255</f>
        <v>7.7170418006430874E-2</v>
      </c>
      <c r="AR250" s="5">
        <f>24/$AR$3</f>
        <v>7.7170418006430874E-2</v>
      </c>
      <c r="AT250">
        <v>30</v>
      </c>
      <c r="AU250" s="5">
        <f>AT250/AT255</f>
        <v>7.6923076923076927E-2</v>
      </c>
      <c r="AV250" s="5">
        <f>30/$AV$3</f>
        <v>7.6923076923076927E-2</v>
      </c>
      <c r="AX250">
        <v>6</v>
      </c>
      <c r="AY250" s="5">
        <f>AX250/AX255</f>
        <v>4.6153846153846156E-2</v>
      </c>
      <c r="AZ250" s="5">
        <f>6/$AZ$3</f>
        <v>4.6153846153846156E-2</v>
      </c>
      <c r="BB250">
        <v>36</v>
      </c>
      <c r="BC250" s="5">
        <f>BB250/BB255</f>
        <v>8.8669950738916259E-2</v>
      </c>
      <c r="BD250" s="5">
        <f>36/$BD$3</f>
        <v>8.8669950738916259E-2</v>
      </c>
      <c r="BF250">
        <v>25</v>
      </c>
      <c r="BG250" s="5">
        <f>BF250/BF255</f>
        <v>6.7204301075268813E-2</v>
      </c>
      <c r="BH250" s="5">
        <f>25/$BH$3</f>
        <v>6.7204301075268813E-2</v>
      </c>
      <c r="BJ250">
        <v>14</v>
      </c>
      <c r="BK250" s="5">
        <f>BJ250/BJ255</f>
        <v>6.3063063063063057E-2</v>
      </c>
      <c r="BL250" s="5">
        <f>14/$BL$3</f>
        <v>6.3063063063063057E-2</v>
      </c>
      <c r="BN250">
        <v>31</v>
      </c>
      <c r="BO250" s="5">
        <f>BN250/BN255</f>
        <v>8.1578947368421056E-2</v>
      </c>
      <c r="BP250" s="5">
        <f>31/$BP$3</f>
        <v>8.1578947368421056E-2</v>
      </c>
      <c r="BR250">
        <v>19</v>
      </c>
      <c r="BS250" s="5">
        <f>BR250/BR255</f>
        <v>5.1351351351351354E-2</v>
      </c>
      <c r="BT250" s="5">
        <f>19/$BT$3</f>
        <v>5.1351351351351354E-2</v>
      </c>
      <c r="BV250">
        <v>25</v>
      </c>
      <c r="BW250" s="5">
        <f>BV250/BV255</f>
        <v>0.1</v>
      </c>
      <c r="BX250" s="5">
        <f>25/$BX$3</f>
        <v>0.1</v>
      </c>
      <c r="BZ250">
        <v>17</v>
      </c>
      <c r="CA250" s="5">
        <f>BZ250/BZ255</f>
        <v>6.8000000000000005E-2</v>
      </c>
      <c r="CB250" s="5">
        <f>17/$CB$3</f>
        <v>6.8000000000000005E-2</v>
      </c>
      <c r="CD250">
        <v>17</v>
      </c>
      <c r="CE250" s="5">
        <f>CD250/CD255</f>
        <v>8.0952380952380956E-2</v>
      </c>
      <c r="CF250" s="5">
        <f>17/$CF$3</f>
        <v>8.0952380952380956E-2</v>
      </c>
      <c r="CH250">
        <v>19</v>
      </c>
      <c r="CI250" s="5">
        <f>CH250/CH255</f>
        <v>8.6363636363636365E-2</v>
      </c>
      <c r="CJ250" s="5">
        <f>19/$CJ$3</f>
        <v>8.6363636363636365E-2</v>
      </c>
      <c r="CL250">
        <v>22</v>
      </c>
      <c r="CM250" s="5">
        <f>CL250/CL255</f>
        <v>6.8750000000000006E-2</v>
      </c>
      <c r="CN250" s="5">
        <f>22/$CN$3</f>
        <v>6.8750000000000006E-2</v>
      </c>
    </row>
    <row r="251" spans="1:92" x14ac:dyDescent="0.25">
      <c r="A251" s="1" t="s">
        <v>2147</v>
      </c>
      <c r="B251">
        <v>59</v>
      </c>
      <c r="C251" s="5">
        <f>B251/B255</f>
        <v>5.8999999999999997E-2</v>
      </c>
      <c r="D251" s="5">
        <f>59/$D$3</f>
        <v>5.8999999999999997E-2</v>
      </c>
      <c r="F251">
        <v>32</v>
      </c>
      <c r="G251" s="5">
        <f>F251/F255</f>
        <v>6.7796610169491525E-2</v>
      </c>
      <c r="H251" s="5">
        <f>32/$H$3</f>
        <v>6.7796610169491525E-2</v>
      </c>
      <c r="J251">
        <v>25</v>
      </c>
      <c r="K251" s="5">
        <f>J251/J255</f>
        <v>8.771929824561403E-2</v>
      </c>
      <c r="L251" s="5">
        <f>25/$L$3</f>
        <v>8.771929824561403E-2</v>
      </c>
      <c r="N251">
        <v>24</v>
      </c>
      <c r="O251" s="5">
        <f>N251/N255</f>
        <v>0.10344827586206896</v>
      </c>
      <c r="P251" s="5">
        <f>24/$P$3</f>
        <v>0.10344827586206896</v>
      </c>
      <c r="R251">
        <v>22</v>
      </c>
      <c r="S251" s="5">
        <f>R251/R255</f>
        <v>7.4829931972789115E-2</v>
      </c>
      <c r="T251" s="5">
        <f>22/$T$3</f>
        <v>7.4829931972789115E-2</v>
      </c>
      <c r="V251">
        <v>27</v>
      </c>
      <c r="W251" s="5">
        <f>V251/V255</f>
        <v>6.4903846153846159E-2</v>
      </c>
      <c r="X251" s="5">
        <f>27/$X$3</f>
        <v>6.4903846153846159E-2</v>
      </c>
      <c r="Z251">
        <v>31</v>
      </c>
      <c r="AA251" s="5">
        <f>Z251/Z255</f>
        <v>7.3809523809523811E-2</v>
      </c>
      <c r="AB251" s="5">
        <f>31/$AB$3</f>
        <v>7.3809523809523811E-2</v>
      </c>
      <c r="AD251">
        <v>23</v>
      </c>
      <c r="AE251" s="5">
        <f>AD251/AD255</f>
        <v>4.5999999999999999E-2</v>
      </c>
      <c r="AF251" s="5">
        <f>23/$AF$3</f>
        <v>4.5999999999999999E-2</v>
      </c>
      <c r="AH251">
        <v>36</v>
      </c>
      <c r="AI251" s="5">
        <f>AH251/AH255</f>
        <v>7.1999999999999995E-2</v>
      </c>
      <c r="AJ251" s="5">
        <f>36/$AJ$3</f>
        <v>7.1999999999999995E-2</v>
      </c>
      <c r="AL251">
        <v>9</v>
      </c>
      <c r="AM251" s="5">
        <f>AL251/AL255</f>
        <v>5.3254437869822487E-2</v>
      </c>
      <c r="AN251" s="5">
        <f>9/$AN$3</f>
        <v>5.3254437869822487E-2</v>
      </c>
      <c r="AP251">
        <v>23</v>
      </c>
      <c r="AQ251" s="5">
        <f>AP251/AP255</f>
        <v>7.3954983922829579E-2</v>
      </c>
      <c r="AR251" s="5">
        <f>23/$AR$3</f>
        <v>7.3954983922829579E-2</v>
      </c>
      <c r="AT251">
        <v>21</v>
      </c>
      <c r="AU251" s="5">
        <f>AT251/AT255</f>
        <v>5.3846153846153849E-2</v>
      </c>
      <c r="AV251" s="5">
        <f>21/$AV$3</f>
        <v>5.3846153846153849E-2</v>
      </c>
      <c r="AX251">
        <v>6</v>
      </c>
      <c r="AY251" s="5">
        <f>AX251/AX255</f>
        <v>4.6153846153846156E-2</v>
      </c>
      <c r="AZ251" s="5">
        <f>6/$AZ$3</f>
        <v>4.6153846153846156E-2</v>
      </c>
      <c r="BB251">
        <v>22</v>
      </c>
      <c r="BC251" s="5">
        <f>BB251/BB255</f>
        <v>5.4187192118226604E-2</v>
      </c>
      <c r="BD251" s="5">
        <f>22/$BD$3</f>
        <v>5.4187192118226604E-2</v>
      </c>
      <c r="BF251">
        <v>18</v>
      </c>
      <c r="BG251" s="5">
        <f>BF251/BF255</f>
        <v>4.8387096774193547E-2</v>
      </c>
      <c r="BH251" s="5">
        <f>18/$BH$3</f>
        <v>4.8387096774193547E-2</v>
      </c>
      <c r="BJ251">
        <v>19</v>
      </c>
      <c r="BK251" s="5">
        <f>BJ251/BJ255</f>
        <v>8.5585585585585586E-2</v>
      </c>
      <c r="BL251" s="5">
        <f>19/$BL$3</f>
        <v>8.5585585585585586E-2</v>
      </c>
      <c r="BN251">
        <v>21</v>
      </c>
      <c r="BO251" s="5">
        <f>BN251/BN255</f>
        <v>5.526315789473684E-2</v>
      </c>
      <c r="BP251" s="5">
        <f>21/$BP$3</f>
        <v>5.526315789473684E-2</v>
      </c>
      <c r="BR251">
        <v>21</v>
      </c>
      <c r="BS251" s="5">
        <f>BR251/BR255</f>
        <v>5.675675675675676E-2</v>
      </c>
      <c r="BT251" s="5">
        <f>21/$BT$3</f>
        <v>5.675675675675676E-2</v>
      </c>
      <c r="BV251">
        <v>17</v>
      </c>
      <c r="BW251" s="5">
        <f>BV251/BV255</f>
        <v>6.8000000000000005E-2</v>
      </c>
      <c r="BX251" s="5">
        <f>17/$BX$3</f>
        <v>6.8000000000000005E-2</v>
      </c>
      <c r="BZ251">
        <v>15</v>
      </c>
      <c r="CA251" s="5">
        <f>BZ251/BZ255</f>
        <v>0.06</v>
      </c>
      <c r="CB251" s="5">
        <f>15/$CB$3</f>
        <v>0.06</v>
      </c>
      <c r="CD251">
        <v>11</v>
      </c>
      <c r="CE251" s="5">
        <f>CD251/CD255</f>
        <v>5.2380952380952382E-2</v>
      </c>
      <c r="CF251" s="5">
        <f>11/$CF$3</f>
        <v>5.2380952380952382E-2</v>
      </c>
      <c r="CH251">
        <v>16</v>
      </c>
      <c r="CI251" s="5">
        <f>CH251/CH255</f>
        <v>7.2727272727272724E-2</v>
      </c>
      <c r="CJ251" s="5">
        <f>16/$CJ$3</f>
        <v>7.2727272727272724E-2</v>
      </c>
      <c r="CL251">
        <v>17</v>
      </c>
      <c r="CM251" s="5">
        <f>CL251/CL255</f>
        <v>5.3124999999999999E-2</v>
      </c>
      <c r="CN251" s="5">
        <f>17/$CN$3</f>
        <v>5.3124999999999999E-2</v>
      </c>
    </row>
    <row r="252" spans="1:92" x14ac:dyDescent="0.25">
      <c r="A252" s="1" t="s">
        <v>2148</v>
      </c>
      <c r="B252">
        <v>37</v>
      </c>
      <c r="C252" s="5">
        <f>B252/B255</f>
        <v>3.6999999999999998E-2</v>
      </c>
      <c r="D252" s="5">
        <f>37/$D$3</f>
        <v>3.6999999999999998E-2</v>
      </c>
      <c r="F252">
        <v>17</v>
      </c>
      <c r="G252" s="5">
        <f>F252/F255</f>
        <v>3.6016949152542374E-2</v>
      </c>
      <c r="H252" s="5">
        <f>17/$H$3</f>
        <v>3.6016949152542374E-2</v>
      </c>
      <c r="J252">
        <v>12</v>
      </c>
      <c r="K252" s="5">
        <f>J252/J255</f>
        <v>4.2105263157894736E-2</v>
      </c>
      <c r="L252" s="5">
        <f>12/$L$3</f>
        <v>4.2105263157894736E-2</v>
      </c>
      <c r="N252">
        <v>10</v>
      </c>
      <c r="O252" s="5">
        <f>N252/N255</f>
        <v>4.3103448275862072E-2</v>
      </c>
      <c r="P252" s="5">
        <f>10/$P$3</f>
        <v>4.3103448275862072E-2</v>
      </c>
      <c r="R252">
        <v>12</v>
      </c>
      <c r="S252" s="5">
        <f>R252/R255</f>
        <v>4.0816326530612242E-2</v>
      </c>
      <c r="T252" s="5">
        <f>12/$T$3</f>
        <v>4.0816326530612242E-2</v>
      </c>
      <c r="V252">
        <v>17</v>
      </c>
      <c r="W252" s="5">
        <f>V252/V255</f>
        <v>4.0865384615384616E-2</v>
      </c>
      <c r="X252" s="5">
        <f>17/$X$3</f>
        <v>4.0865384615384616E-2</v>
      </c>
      <c r="Z252">
        <v>16</v>
      </c>
      <c r="AA252" s="5">
        <f>Z252/Z255</f>
        <v>3.8095238095238099E-2</v>
      </c>
      <c r="AB252" s="5">
        <f>16/$AB$3</f>
        <v>3.8095238095238099E-2</v>
      </c>
      <c r="AD252">
        <v>18</v>
      </c>
      <c r="AE252" s="5">
        <f>AD252/AD255</f>
        <v>3.5999999999999997E-2</v>
      </c>
      <c r="AF252" s="5">
        <f>18/$AF$3</f>
        <v>3.5999999999999997E-2</v>
      </c>
      <c r="AH252">
        <v>19</v>
      </c>
      <c r="AI252" s="5">
        <f>AH252/AH255</f>
        <v>3.7999999999999999E-2</v>
      </c>
      <c r="AJ252" s="5">
        <f>19/$AJ$3</f>
        <v>3.7999999999999999E-2</v>
      </c>
      <c r="AL252">
        <v>8</v>
      </c>
      <c r="AM252" s="5">
        <f>AL252/AL255</f>
        <v>4.7337278106508875E-2</v>
      </c>
      <c r="AN252" s="5">
        <f>8/$AN$3</f>
        <v>4.7337278106508875E-2</v>
      </c>
      <c r="AP252">
        <v>9</v>
      </c>
      <c r="AQ252" s="5">
        <f>AP252/AP255</f>
        <v>2.8938906752411574E-2</v>
      </c>
      <c r="AR252" s="5">
        <f>9/$AR$3</f>
        <v>2.8938906752411574E-2</v>
      </c>
      <c r="AT252">
        <v>12</v>
      </c>
      <c r="AU252" s="5">
        <f>AT252/AT255</f>
        <v>3.0769230769230771E-2</v>
      </c>
      <c r="AV252" s="5">
        <f>12/$AV$3</f>
        <v>3.0769230769230771E-2</v>
      </c>
      <c r="AX252">
        <v>8</v>
      </c>
      <c r="AY252" s="5">
        <f>AX252/AX255</f>
        <v>6.1538461538461542E-2</v>
      </c>
      <c r="AZ252" s="5">
        <f>8/$AZ$3</f>
        <v>6.1538461538461542E-2</v>
      </c>
      <c r="BB252">
        <v>20</v>
      </c>
      <c r="BC252" s="5">
        <f>BB252/BB255</f>
        <v>4.9261083743842367E-2</v>
      </c>
      <c r="BD252" s="5">
        <f>20/$BD$3</f>
        <v>4.9261083743842367E-2</v>
      </c>
      <c r="BF252">
        <v>13</v>
      </c>
      <c r="BG252" s="5">
        <f>BF252/BF255</f>
        <v>3.4946236559139782E-2</v>
      </c>
      <c r="BH252" s="5">
        <f>13/$BH$3</f>
        <v>3.4946236559139782E-2</v>
      </c>
      <c r="BJ252">
        <v>4</v>
      </c>
      <c r="BK252" s="5">
        <f>BJ252/BJ255</f>
        <v>1.8018018018018018E-2</v>
      </c>
      <c r="BL252" s="5">
        <f>4/$BL$3</f>
        <v>1.8018018018018018E-2</v>
      </c>
      <c r="BN252">
        <v>17</v>
      </c>
      <c r="BO252" s="5">
        <f>BN252/BN255</f>
        <v>4.4736842105263158E-2</v>
      </c>
      <c r="BP252" s="5">
        <f>17/$BP$3</f>
        <v>4.4736842105263158E-2</v>
      </c>
      <c r="BR252">
        <v>14</v>
      </c>
      <c r="BS252" s="5">
        <f>BR252/BR255</f>
        <v>3.783783783783784E-2</v>
      </c>
      <c r="BT252" s="5">
        <f>14/$BT$3</f>
        <v>3.783783783783784E-2</v>
      </c>
      <c r="BV252">
        <v>6</v>
      </c>
      <c r="BW252" s="5">
        <f>BV252/BV255</f>
        <v>2.4E-2</v>
      </c>
      <c r="BX252" s="5">
        <f>6/$BX$3</f>
        <v>2.4E-2</v>
      </c>
      <c r="BZ252">
        <v>10</v>
      </c>
      <c r="CA252" s="5">
        <f>BZ252/BZ255</f>
        <v>0.04</v>
      </c>
      <c r="CB252" s="5">
        <f>10/$CB$3</f>
        <v>0.04</v>
      </c>
      <c r="CD252">
        <v>7</v>
      </c>
      <c r="CE252" s="5">
        <f>CD252/CD255</f>
        <v>3.3333333333333333E-2</v>
      </c>
      <c r="CF252" s="5">
        <f>7/$CF$3</f>
        <v>3.3333333333333333E-2</v>
      </c>
      <c r="CH252">
        <v>9</v>
      </c>
      <c r="CI252" s="5">
        <f>CH252/CH255</f>
        <v>4.0909090909090909E-2</v>
      </c>
      <c r="CJ252" s="5">
        <f>9/$CJ$3</f>
        <v>4.0909090909090909E-2</v>
      </c>
      <c r="CL252">
        <v>11</v>
      </c>
      <c r="CM252" s="5">
        <f>CL252/CL255</f>
        <v>3.4375000000000003E-2</v>
      </c>
      <c r="CN252" s="5">
        <f>11/$CN$3</f>
        <v>3.4375000000000003E-2</v>
      </c>
    </row>
    <row r="253" spans="1:92" x14ac:dyDescent="0.25">
      <c r="A253" s="1" t="s">
        <v>2149</v>
      </c>
      <c r="B253">
        <v>105</v>
      </c>
      <c r="C253" s="5">
        <f>B253/B255</f>
        <v>0.105</v>
      </c>
      <c r="D253" s="5">
        <f>105/$D$3</f>
        <v>0.105</v>
      </c>
      <c r="F253">
        <v>40</v>
      </c>
      <c r="G253" s="5">
        <f>F253/F255</f>
        <v>8.4745762711864403E-2</v>
      </c>
      <c r="H253" s="5">
        <f>40/$H$3</f>
        <v>8.4745762711864403E-2</v>
      </c>
      <c r="J253">
        <v>24</v>
      </c>
      <c r="K253" s="5">
        <f>J253/J255</f>
        <v>8.4210526315789472E-2</v>
      </c>
      <c r="L253" s="5">
        <f>24/$L$3</f>
        <v>8.4210526315789472E-2</v>
      </c>
      <c r="N253">
        <v>23</v>
      </c>
      <c r="O253" s="5">
        <f>N253/N255</f>
        <v>9.9137931034482762E-2</v>
      </c>
      <c r="P253" s="5">
        <f>23/$P$3</f>
        <v>9.9137931034482762E-2</v>
      </c>
      <c r="R253">
        <v>23</v>
      </c>
      <c r="S253" s="5">
        <f>R253/R255</f>
        <v>7.8231292517006806E-2</v>
      </c>
      <c r="T253" s="5">
        <f>23/$T$3</f>
        <v>7.8231292517006806E-2</v>
      </c>
      <c r="V253">
        <v>36</v>
      </c>
      <c r="W253" s="5">
        <f>V253/V255</f>
        <v>8.6538461538461536E-2</v>
      </c>
      <c r="X253" s="5">
        <f>36/$X$3</f>
        <v>8.6538461538461536E-2</v>
      </c>
      <c r="Z253">
        <v>33</v>
      </c>
      <c r="AA253" s="5">
        <f>Z253/Z255</f>
        <v>7.857142857142857E-2</v>
      </c>
      <c r="AB253" s="5">
        <f>33/$AB$3</f>
        <v>7.857142857142857E-2</v>
      </c>
      <c r="AD253">
        <v>52</v>
      </c>
      <c r="AE253" s="5">
        <f>AD253/AD255</f>
        <v>0.104</v>
      </c>
      <c r="AF253" s="5">
        <f>52/$AF$3</f>
        <v>0.104</v>
      </c>
      <c r="AH253">
        <v>53</v>
      </c>
      <c r="AI253" s="5">
        <f>AH253/AH255</f>
        <v>0.106</v>
      </c>
      <c r="AJ253" s="5">
        <f>53/$AJ$3</f>
        <v>0.106</v>
      </c>
      <c r="AL253">
        <v>21</v>
      </c>
      <c r="AM253" s="5">
        <f>AL253/AL255</f>
        <v>0.1242603550295858</v>
      </c>
      <c r="AN253" s="5">
        <f>21/$AN$3</f>
        <v>0.1242603550295858</v>
      </c>
      <c r="AP253">
        <v>27</v>
      </c>
      <c r="AQ253" s="5">
        <f>AP253/AP255</f>
        <v>8.6816720257234734E-2</v>
      </c>
      <c r="AR253" s="5">
        <f>27/$AR$3</f>
        <v>8.6816720257234734E-2</v>
      </c>
      <c r="AT253">
        <v>41</v>
      </c>
      <c r="AU253" s="5">
        <f>AT253/AT255</f>
        <v>0.10512820512820513</v>
      </c>
      <c r="AV253" s="5">
        <f>41/$AV$3</f>
        <v>0.10512820512820513</v>
      </c>
      <c r="AX253">
        <v>16</v>
      </c>
      <c r="AY253" s="5">
        <f>AX253/AX255</f>
        <v>0.12307692307692308</v>
      </c>
      <c r="AZ253" s="5">
        <f>16/$AZ$3</f>
        <v>0.12307692307692308</v>
      </c>
      <c r="BB253">
        <v>47</v>
      </c>
      <c r="BC253" s="5">
        <f>BB253/BB255</f>
        <v>0.11576354679802955</v>
      </c>
      <c r="BD253" s="5">
        <f>47/$BD$3</f>
        <v>0.11576354679802955</v>
      </c>
      <c r="BF253">
        <v>40</v>
      </c>
      <c r="BG253" s="5">
        <f>BF253/BF255</f>
        <v>0.10752688172043011</v>
      </c>
      <c r="BH253" s="5">
        <f>40/$BH$3</f>
        <v>0.10752688172043011</v>
      </c>
      <c r="BJ253">
        <v>18</v>
      </c>
      <c r="BK253" s="5">
        <f>BJ253/BJ255</f>
        <v>8.1081081081081086E-2</v>
      </c>
      <c r="BL253" s="5">
        <f>18/$BL$3</f>
        <v>8.1081081081081086E-2</v>
      </c>
      <c r="BN253">
        <v>43</v>
      </c>
      <c r="BO253" s="5">
        <f>BN253/BN255</f>
        <v>0.11315789473684211</v>
      </c>
      <c r="BP253" s="5">
        <f>43/$BP$3</f>
        <v>0.11315789473684211</v>
      </c>
      <c r="BR253">
        <v>32</v>
      </c>
      <c r="BS253" s="5">
        <f>BR253/BR255</f>
        <v>8.6486486486486491E-2</v>
      </c>
      <c r="BT253" s="5">
        <f>32/$BT$3</f>
        <v>8.6486486486486491E-2</v>
      </c>
      <c r="BV253">
        <v>30</v>
      </c>
      <c r="BW253" s="5">
        <f>BV253/BV255</f>
        <v>0.12</v>
      </c>
      <c r="BX253" s="5">
        <f>30/$BX$3</f>
        <v>0.12</v>
      </c>
      <c r="BZ253">
        <v>32</v>
      </c>
      <c r="CA253" s="5">
        <f>BZ253/BZ255</f>
        <v>0.128</v>
      </c>
      <c r="CB253" s="5">
        <f>32/$CB$3</f>
        <v>0.128</v>
      </c>
      <c r="CD253">
        <v>19</v>
      </c>
      <c r="CE253" s="5">
        <f>CD253/CD255</f>
        <v>9.0476190476190474E-2</v>
      </c>
      <c r="CF253" s="5">
        <f>19/$CF$3</f>
        <v>9.0476190476190474E-2</v>
      </c>
      <c r="CH253">
        <v>26</v>
      </c>
      <c r="CI253" s="5">
        <f>CH253/CH255</f>
        <v>0.11818181818181818</v>
      </c>
      <c r="CJ253" s="5">
        <f>26/$CJ$3</f>
        <v>0.11818181818181818</v>
      </c>
      <c r="CL253">
        <v>28</v>
      </c>
      <c r="CM253" s="5">
        <f>CL253/CL255</f>
        <v>8.7499999999999994E-2</v>
      </c>
      <c r="CN253" s="5">
        <f>28/$CN$3</f>
        <v>8.7499999999999994E-2</v>
      </c>
    </row>
    <row r="254" spans="1:92" x14ac:dyDescent="0.25">
      <c r="A254" s="1" t="s">
        <v>12</v>
      </c>
      <c r="B254">
        <v>455</v>
      </c>
      <c r="C254" s="5">
        <f>B254/B255</f>
        <v>0.45500000000000002</v>
      </c>
      <c r="D254" s="5">
        <f>455/$D$3</f>
        <v>0.45500000000000002</v>
      </c>
      <c r="F254">
        <v>173</v>
      </c>
      <c r="G254" s="5">
        <f>F254/F255</f>
        <v>0.36652542372881358</v>
      </c>
      <c r="H254" s="11">
        <f>173/$H$3</f>
        <v>0.36652542372881358</v>
      </c>
      <c r="J254">
        <v>104</v>
      </c>
      <c r="K254" s="5">
        <f>J254/J255</f>
        <v>0.36491228070175441</v>
      </c>
      <c r="L254" s="11">
        <f>104/$L$3</f>
        <v>0.36491228070175441</v>
      </c>
      <c r="N254">
        <v>63</v>
      </c>
      <c r="O254" s="5">
        <f>N254/N255</f>
        <v>0.27155172413793105</v>
      </c>
      <c r="P254" s="11">
        <f>63/$P$3</f>
        <v>0.27155172413793105</v>
      </c>
      <c r="R254">
        <v>94</v>
      </c>
      <c r="S254" s="5">
        <f>R254/R255</f>
        <v>0.31972789115646261</v>
      </c>
      <c r="T254" s="11">
        <f>94/$T$3</f>
        <v>0.31972789115646261</v>
      </c>
      <c r="V254">
        <v>142</v>
      </c>
      <c r="W254" s="5">
        <f>V254/V255</f>
        <v>0.34134615384615385</v>
      </c>
      <c r="X254" s="11">
        <f>142/$X$3</f>
        <v>0.34134615384615385</v>
      </c>
      <c r="Z254">
        <v>142</v>
      </c>
      <c r="AA254" s="5">
        <f>Z254/Z255</f>
        <v>0.33809523809523812</v>
      </c>
      <c r="AB254" s="11">
        <f>142/$AB$3</f>
        <v>0.33809523809523812</v>
      </c>
      <c r="AD254">
        <v>237</v>
      </c>
      <c r="AE254" s="5">
        <f>AD254/AD255</f>
        <v>0.47399999999999998</v>
      </c>
      <c r="AF254" s="5">
        <f>237/$AF$3</f>
        <v>0.47399999999999998</v>
      </c>
      <c r="AH254">
        <v>218</v>
      </c>
      <c r="AI254" s="5">
        <f>AH254/AH255</f>
        <v>0.436</v>
      </c>
      <c r="AJ254" s="5">
        <f>218/$AJ$3</f>
        <v>0.436</v>
      </c>
      <c r="AL254">
        <v>67</v>
      </c>
      <c r="AM254" s="5">
        <f>AL254/AL255</f>
        <v>0.39644970414201186</v>
      </c>
      <c r="AN254" s="5">
        <f>67/$AN$3</f>
        <v>0.39644970414201186</v>
      </c>
      <c r="AP254">
        <v>140</v>
      </c>
      <c r="AQ254" s="5">
        <f>AP254/AP255</f>
        <v>0.45016077170418006</v>
      </c>
      <c r="AR254" s="5">
        <f>140/$AR$3</f>
        <v>0.45016077170418006</v>
      </c>
      <c r="AT254">
        <v>173</v>
      </c>
      <c r="AU254" s="5">
        <f>AT254/AT255</f>
        <v>0.44358974358974357</v>
      </c>
      <c r="AV254" s="5">
        <f>173/$AV$3</f>
        <v>0.44358974358974357</v>
      </c>
      <c r="AX254">
        <v>75</v>
      </c>
      <c r="AY254" s="5">
        <f>AX254/AX255</f>
        <v>0.57692307692307687</v>
      </c>
      <c r="AZ254" s="10">
        <f>75/$AZ$3</f>
        <v>0.57692307692307687</v>
      </c>
      <c r="BA254" s="12"/>
      <c r="BB254">
        <v>177</v>
      </c>
      <c r="BC254" s="5">
        <f>BB254/BB255</f>
        <v>0.43596059113300495</v>
      </c>
      <c r="BD254" s="5">
        <f>177/$BD$3</f>
        <v>0.43596059113300495</v>
      </c>
      <c r="BF254">
        <v>177</v>
      </c>
      <c r="BG254" s="5">
        <f>BF254/BF255</f>
        <v>0.47580645161290325</v>
      </c>
      <c r="BH254" s="5">
        <f>177/$BH$3</f>
        <v>0.47580645161290325</v>
      </c>
      <c r="BJ254">
        <v>101</v>
      </c>
      <c r="BK254" s="5">
        <f>BJ254/BJ255</f>
        <v>0.45495495495495497</v>
      </c>
      <c r="BL254" s="5">
        <f>101/$BL$3</f>
        <v>0.45495495495495497</v>
      </c>
      <c r="BN254">
        <v>174</v>
      </c>
      <c r="BO254" s="5">
        <f>BN254/BN255</f>
        <v>0.45789473684210524</v>
      </c>
      <c r="BP254" s="5">
        <f>174/$BP$3</f>
        <v>0.45789473684210524</v>
      </c>
      <c r="BR254">
        <v>182</v>
      </c>
      <c r="BS254" s="5">
        <f>BR254/BR255</f>
        <v>0.49189189189189192</v>
      </c>
      <c r="BT254" s="5">
        <f>182/$BT$3</f>
        <v>0.49189189189189192</v>
      </c>
      <c r="BV254">
        <v>99</v>
      </c>
      <c r="BW254" s="5">
        <f>BV254/BV255</f>
        <v>0.39600000000000002</v>
      </c>
      <c r="BX254" s="11">
        <f>99/$BX$3</f>
        <v>0.39600000000000002</v>
      </c>
      <c r="BZ254">
        <v>115</v>
      </c>
      <c r="CA254" s="5">
        <f>BZ254/BZ255</f>
        <v>0.46</v>
      </c>
      <c r="CB254" s="5">
        <f>115/$CB$3</f>
        <v>0.46</v>
      </c>
      <c r="CD254">
        <v>97</v>
      </c>
      <c r="CE254" s="5">
        <f>CD254/CD255</f>
        <v>0.46190476190476193</v>
      </c>
      <c r="CF254" s="5">
        <f>97/$CF$3</f>
        <v>0.46190476190476193</v>
      </c>
      <c r="CH254">
        <v>86</v>
      </c>
      <c r="CI254" s="5">
        <f>CH254/CH255</f>
        <v>0.39090909090909093</v>
      </c>
      <c r="CJ254" s="11">
        <f>86/$CJ$3</f>
        <v>0.39090909090909093</v>
      </c>
      <c r="CL254">
        <v>157</v>
      </c>
      <c r="CM254" s="5">
        <f>CL254/CL255</f>
        <v>0.49062499999999998</v>
      </c>
      <c r="CN254" s="5">
        <f>157/$CN$3</f>
        <v>0.49062499999999998</v>
      </c>
    </row>
    <row r="255" spans="1:92" s="6" customFormat="1" x14ac:dyDescent="0.25">
      <c r="A255" s="7" t="s">
        <v>13</v>
      </c>
      <c r="B255" s="6">
        <v>1000</v>
      </c>
      <c r="F255" s="6">
        <v>472</v>
      </c>
      <c r="J255" s="6">
        <v>285</v>
      </c>
      <c r="N255" s="6">
        <v>232</v>
      </c>
      <c r="R255" s="6">
        <v>294</v>
      </c>
      <c r="V255" s="6">
        <v>416</v>
      </c>
      <c r="Z255" s="6">
        <v>420</v>
      </c>
      <c r="AD255" s="6">
        <v>500</v>
      </c>
      <c r="AH255" s="6">
        <v>500</v>
      </c>
      <c r="AL255" s="6">
        <v>169</v>
      </c>
      <c r="AP255" s="6">
        <v>311</v>
      </c>
      <c r="AT255" s="6">
        <v>390</v>
      </c>
      <c r="AX255" s="6">
        <v>130</v>
      </c>
      <c r="BB255" s="6">
        <v>406</v>
      </c>
      <c r="BF255" s="6">
        <v>372</v>
      </c>
      <c r="BJ255" s="6">
        <v>222</v>
      </c>
      <c r="BN255" s="6">
        <v>380</v>
      </c>
      <c r="BR255" s="6">
        <v>370</v>
      </c>
      <c r="BV255" s="6">
        <v>250</v>
      </c>
      <c r="BZ255" s="6">
        <v>250</v>
      </c>
      <c r="CD255" s="6">
        <v>210</v>
      </c>
      <c r="CH255" s="6">
        <v>220</v>
      </c>
      <c r="CL255" s="6">
        <v>320</v>
      </c>
    </row>
    <row r="256" spans="1:92" hidden="1" x14ac:dyDescent="0.25">
      <c r="A256" s="8" t="s">
        <v>14</v>
      </c>
      <c r="B256">
        <v>0</v>
      </c>
      <c r="F256">
        <v>0</v>
      </c>
      <c r="J256">
        <v>0</v>
      </c>
      <c r="N256">
        <v>0</v>
      </c>
      <c r="R256">
        <v>0</v>
      </c>
      <c r="V256">
        <v>0</v>
      </c>
      <c r="Z256">
        <v>0</v>
      </c>
      <c r="AD256">
        <v>0</v>
      </c>
      <c r="AH256">
        <v>0</v>
      </c>
      <c r="AL256">
        <v>0</v>
      </c>
      <c r="AP256">
        <v>0</v>
      </c>
      <c r="AT256">
        <v>0</v>
      </c>
      <c r="AX256">
        <v>0</v>
      </c>
      <c r="BB256">
        <v>0</v>
      </c>
      <c r="BF256">
        <v>0</v>
      </c>
      <c r="BJ256">
        <v>0</v>
      </c>
      <c r="BN256">
        <v>0</v>
      </c>
      <c r="BR256">
        <v>0</v>
      </c>
      <c r="BV256">
        <v>0</v>
      </c>
      <c r="BZ256">
        <v>0</v>
      </c>
      <c r="CD256">
        <v>0</v>
      </c>
      <c r="CH256">
        <v>0</v>
      </c>
      <c r="CL256">
        <v>0</v>
      </c>
    </row>
    <row r="257" spans="1:92" hidden="1" x14ac:dyDescent="0.25">
      <c r="A257" s="8" t="s">
        <v>15</v>
      </c>
      <c r="B257">
        <v>0</v>
      </c>
      <c r="F257">
        <v>0</v>
      </c>
      <c r="J257">
        <v>0</v>
      </c>
      <c r="N257">
        <v>0</v>
      </c>
      <c r="R257">
        <v>0</v>
      </c>
      <c r="V257">
        <v>0</v>
      </c>
      <c r="Z257">
        <v>0</v>
      </c>
      <c r="AD257">
        <v>0</v>
      </c>
      <c r="AH257">
        <v>0</v>
      </c>
      <c r="AL257">
        <v>0</v>
      </c>
      <c r="AP257">
        <v>0</v>
      </c>
      <c r="AT257">
        <v>0</v>
      </c>
      <c r="AX257">
        <v>0</v>
      </c>
      <c r="BB257">
        <v>0</v>
      </c>
      <c r="BF257">
        <v>0</v>
      </c>
      <c r="BJ257">
        <v>0</v>
      </c>
      <c r="BN257">
        <v>0</v>
      </c>
      <c r="BR257">
        <v>0</v>
      </c>
      <c r="BV257">
        <v>0</v>
      </c>
      <c r="BZ257">
        <v>0</v>
      </c>
      <c r="CD257">
        <v>0</v>
      </c>
      <c r="CH257">
        <v>0</v>
      </c>
      <c r="CL257">
        <v>0</v>
      </c>
    </row>
    <row r="259" spans="1:92" x14ac:dyDescent="0.25">
      <c r="AN259" s="2" t="s">
        <v>5</v>
      </c>
      <c r="AR259" s="2" t="s">
        <v>6</v>
      </c>
      <c r="AV259" s="2" t="s">
        <v>7</v>
      </c>
      <c r="AZ259" s="2" t="s">
        <v>8</v>
      </c>
      <c r="BD259" s="2" t="s">
        <v>5</v>
      </c>
      <c r="BH259" s="2" t="s">
        <v>6</v>
      </c>
      <c r="BL259" s="2" t="s">
        <v>7</v>
      </c>
      <c r="BP259" s="2" t="s">
        <v>5</v>
      </c>
      <c r="BT259" s="2" t="s">
        <v>6</v>
      </c>
      <c r="BX259" s="2" t="s">
        <v>7</v>
      </c>
      <c r="CB259" s="2" t="s">
        <v>5</v>
      </c>
      <c r="CF259" s="2" t="s">
        <v>6</v>
      </c>
      <c r="CJ259" s="2" t="s">
        <v>7</v>
      </c>
      <c r="CN259" s="2" t="s">
        <v>8</v>
      </c>
    </row>
    <row r="260" spans="1:92" s="3" customFormat="1" x14ac:dyDescent="0.25">
      <c r="A260" s="3" t="s">
        <v>2144</v>
      </c>
      <c r="D260" s="4" t="s">
        <v>10</v>
      </c>
      <c r="H260" s="4" t="s">
        <v>10</v>
      </c>
      <c r="L260" s="4" t="s">
        <v>10</v>
      </c>
      <c r="P260" s="4" t="s">
        <v>10</v>
      </c>
      <c r="T260" s="4" t="s">
        <v>10</v>
      </c>
      <c r="X260" s="4" t="s">
        <v>10</v>
      </c>
      <c r="AB260" s="4" t="s">
        <v>10</v>
      </c>
      <c r="AF260" s="4" t="s">
        <v>10</v>
      </c>
      <c r="AJ260" s="4" t="s">
        <v>10</v>
      </c>
      <c r="AN260" s="4" t="s">
        <v>10</v>
      </c>
      <c r="AR260" s="4" t="s">
        <v>10</v>
      </c>
      <c r="AV260" s="4" t="s">
        <v>10</v>
      </c>
      <c r="AZ260" s="4" t="s">
        <v>10</v>
      </c>
      <c r="BD260" s="4" t="s">
        <v>10</v>
      </c>
      <c r="BH260" s="4" t="s">
        <v>10</v>
      </c>
      <c r="BL260" s="4" t="s">
        <v>10</v>
      </c>
      <c r="BP260" s="4" t="s">
        <v>10</v>
      </c>
      <c r="BT260" s="4" t="s">
        <v>10</v>
      </c>
      <c r="BX260" s="4" t="s">
        <v>10</v>
      </c>
      <c r="CB260" s="4" t="s">
        <v>10</v>
      </c>
      <c r="CF260" s="4" t="s">
        <v>10</v>
      </c>
      <c r="CJ260" s="4" t="s">
        <v>10</v>
      </c>
      <c r="CN260" s="4" t="s">
        <v>10</v>
      </c>
    </row>
    <row r="261" spans="1:92" x14ac:dyDescent="0.25">
      <c r="A261" s="1" t="s">
        <v>48</v>
      </c>
      <c r="B261">
        <v>34</v>
      </c>
      <c r="C261" s="5">
        <f>B261/B269</f>
        <v>3.4000000000000002E-2</v>
      </c>
      <c r="D261" s="5">
        <f>34/$D$3</f>
        <v>3.4000000000000002E-2</v>
      </c>
      <c r="F261">
        <v>22</v>
      </c>
      <c r="G261" s="5">
        <f>F261/F269</f>
        <v>4.6610169491525424E-2</v>
      </c>
      <c r="H261" s="5">
        <f>22/$H$3</f>
        <v>4.6610169491525424E-2</v>
      </c>
      <c r="J261">
        <v>18</v>
      </c>
      <c r="K261" s="5">
        <f>J261/J269</f>
        <v>6.3157894736842107E-2</v>
      </c>
      <c r="L261" s="5">
        <f>18/$L$3</f>
        <v>6.3157894736842107E-2</v>
      </c>
      <c r="N261">
        <v>12</v>
      </c>
      <c r="O261" s="5">
        <f>N261/N269</f>
        <v>5.1724137931034482E-2</v>
      </c>
      <c r="P261" s="5">
        <f>12/$P$3</f>
        <v>5.1724137931034482E-2</v>
      </c>
      <c r="R261">
        <v>16</v>
      </c>
      <c r="S261" s="5">
        <f>R261/R269</f>
        <v>5.4421768707482991E-2</v>
      </c>
      <c r="T261" s="5">
        <f>16/$T$3</f>
        <v>5.4421768707482991E-2</v>
      </c>
      <c r="V261">
        <v>21</v>
      </c>
      <c r="W261" s="5">
        <f>V261/V269</f>
        <v>5.0480769230769232E-2</v>
      </c>
      <c r="X261" s="5">
        <f>21/$X$3</f>
        <v>5.0480769230769232E-2</v>
      </c>
      <c r="Z261">
        <v>20</v>
      </c>
      <c r="AA261" s="5">
        <f>Z261/Z269</f>
        <v>4.7619047619047616E-2</v>
      </c>
      <c r="AB261" s="5">
        <f>20/$AB$3</f>
        <v>4.7619047619047616E-2</v>
      </c>
      <c r="AD261">
        <v>17</v>
      </c>
      <c r="AE261" s="5">
        <f>AD261/AD269</f>
        <v>3.4000000000000002E-2</v>
      </c>
      <c r="AF261" s="5">
        <f>17/$AF$3</f>
        <v>3.4000000000000002E-2</v>
      </c>
      <c r="AH261">
        <v>17</v>
      </c>
      <c r="AI261" s="5">
        <f>AH261/AH269</f>
        <v>3.4000000000000002E-2</v>
      </c>
      <c r="AJ261" s="5">
        <f>17/$AJ$3</f>
        <v>3.4000000000000002E-2</v>
      </c>
      <c r="AL261">
        <v>7</v>
      </c>
      <c r="AM261" s="5">
        <f>AL261/AL269</f>
        <v>4.142011834319527E-2</v>
      </c>
      <c r="AN261" s="5">
        <f>7/$AN$3</f>
        <v>4.142011834319527E-2</v>
      </c>
      <c r="AP261">
        <v>12</v>
      </c>
      <c r="AQ261" s="5">
        <f>AP261/AP269</f>
        <v>3.8585209003215437E-2</v>
      </c>
      <c r="AR261" s="5">
        <f>12/$AR$3</f>
        <v>3.8585209003215437E-2</v>
      </c>
      <c r="AT261">
        <v>8</v>
      </c>
      <c r="AU261" s="5">
        <f>AT261/AT269</f>
        <v>2.0512820512820513E-2</v>
      </c>
      <c r="AV261" s="5">
        <f>8/$AV$3</f>
        <v>2.0512820512820513E-2</v>
      </c>
      <c r="AX261">
        <v>7</v>
      </c>
      <c r="AY261" s="5">
        <f>AX261/AX269</f>
        <v>5.3846153846153849E-2</v>
      </c>
      <c r="AZ261" s="5">
        <f>7/$AZ$3</f>
        <v>5.3846153846153849E-2</v>
      </c>
      <c r="BB261">
        <v>17</v>
      </c>
      <c r="BC261" s="5">
        <f>BB261/BB269</f>
        <v>4.1871921182266007E-2</v>
      </c>
      <c r="BD261" s="5">
        <f>17/$BD$3</f>
        <v>4.1871921182266007E-2</v>
      </c>
      <c r="BF261">
        <v>10</v>
      </c>
      <c r="BG261" s="5">
        <f>BF261/BF269</f>
        <v>2.6881720430107527E-2</v>
      </c>
      <c r="BH261" s="5">
        <f>10/$BH$3</f>
        <v>2.6881720430107527E-2</v>
      </c>
      <c r="BJ261">
        <v>7</v>
      </c>
      <c r="BK261" s="5">
        <f>BJ261/BJ269</f>
        <v>3.1531531531531529E-2</v>
      </c>
      <c r="BL261" s="5">
        <f>7/$BL$3</f>
        <v>3.1531531531531529E-2</v>
      </c>
      <c r="BN261">
        <v>12</v>
      </c>
      <c r="BO261" s="5">
        <f>BN261/BN269</f>
        <v>3.1578947368421054E-2</v>
      </c>
      <c r="BP261" s="5">
        <f>12/$BP$3</f>
        <v>3.1578947368421054E-2</v>
      </c>
      <c r="BR261">
        <v>7</v>
      </c>
      <c r="BS261" s="5">
        <f>BR261/BR269</f>
        <v>1.891891891891892E-2</v>
      </c>
      <c r="BT261" s="5">
        <f>7/$BT$3</f>
        <v>1.891891891891892E-2</v>
      </c>
      <c r="BV261">
        <v>15</v>
      </c>
      <c r="BW261" s="5">
        <f>BV261/BV269</f>
        <v>0.06</v>
      </c>
      <c r="BX261" s="5">
        <f>15/$BX$3</f>
        <v>0.06</v>
      </c>
      <c r="BZ261">
        <v>8</v>
      </c>
      <c r="CA261" s="5">
        <f>BZ261/BZ269</f>
        <v>3.2000000000000001E-2</v>
      </c>
      <c r="CB261" s="5">
        <f>8/$CB$3</f>
        <v>3.2000000000000001E-2</v>
      </c>
      <c r="CD261">
        <v>7</v>
      </c>
      <c r="CE261" s="5">
        <f>CD261/CD269</f>
        <v>3.3333333333333333E-2</v>
      </c>
      <c r="CF261" s="5">
        <f>7/$CF$3</f>
        <v>3.3333333333333333E-2</v>
      </c>
      <c r="CH261">
        <v>13</v>
      </c>
      <c r="CI261" s="5">
        <f>CH261/CH269</f>
        <v>5.909090909090909E-2</v>
      </c>
      <c r="CJ261" s="5">
        <f>13/$CJ$3</f>
        <v>5.909090909090909E-2</v>
      </c>
      <c r="CL261">
        <v>6</v>
      </c>
      <c r="CM261" s="5">
        <f>CL261/CL269</f>
        <v>1.8749999999999999E-2</v>
      </c>
      <c r="CN261" s="5">
        <f>6/$CN$3</f>
        <v>1.8749999999999999E-2</v>
      </c>
    </row>
    <row r="262" spans="1:92" x14ac:dyDescent="0.25">
      <c r="A262" s="1" t="s">
        <v>1063</v>
      </c>
      <c r="B262">
        <v>138</v>
      </c>
      <c r="C262" s="5">
        <f>B262/B269</f>
        <v>0.13800000000000001</v>
      </c>
      <c r="D262" s="5">
        <f>138/$D$3</f>
        <v>0.13800000000000001</v>
      </c>
      <c r="F262">
        <v>78</v>
      </c>
      <c r="G262" s="5">
        <f>F262/F269</f>
        <v>0.1652542372881356</v>
      </c>
      <c r="H262" s="5">
        <f>78/$H$3</f>
        <v>0.1652542372881356</v>
      </c>
      <c r="J262">
        <v>46</v>
      </c>
      <c r="K262" s="5">
        <f>J262/J269</f>
        <v>0.16140350877192983</v>
      </c>
      <c r="L262" s="5">
        <f>46/$L$3</f>
        <v>0.16140350877192983</v>
      </c>
      <c r="N262">
        <v>41</v>
      </c>
      <c r="O262" s="5">
        <f>N262/N269</f>
        <v>0.17672413793103448</v>
      </c>
      <c r="P262" s="5">
        <f>41/$P$3</f>
        <v>0.17672413793103448</v>
      </c>
      <c r="R262">
        <v>44</v>
      </c>
      <c r="S262" s="5">
        <f>R262/R269</f>
        <v>0.14965986394557823</v>
      </c>
      <c r="T262" s="5">
        <f>44/$T$3</f>
        <v>0.14965986394557823</v>
      </c>
      <c r="V262">
        <v>71</v>
      </c>
      <c r="W262" s="5">
        <f>V262/V269</f>
        <v>0.17067307692307693</v>
      </c>
      <c r="X262" s="5">
        <f>71/$X$3</f>
        <v>0.17067307692307693</v>
      </c>
      <c r="Z262">
        <v>74</v>
      </c>
      <c r="AA262" s="5">
        <f>Z262/Z269</f>
        <v>0.1761904761904762</v>
      </c>
      <c r="AB262" s="5">
        <f>74/$AB$3</f>
        <v>0.1761904761904762</v>
      </c>
      <c r="AD262">
        <v>53</v>
      </c>
      <c r="AE262" s="5">
        <f>AD262/AD269</f>
        <v>0.106</v>
      </c>
      <c r="AF262" s="5">
        <f>53/$AF$3</f>
        <v>0.106</v>
      </c>
      <c r="AH262">
        <v>85</v>
      </c>
      <c r="AI262" s="5">
        <f>AH262/AH269</f>
        <v>0.17</v>
      </c>
      <c r="AJ262" s="5">
        <f>85/$AJ$3</f>
        <v>0.17</v>
      </c>
      <c r="AL262">
        <v>28</v>
      </c>
      <c r="AM262" s="5">
        <f>AL262/AL269</f>
        <v>0.16568047337278108</v>
      </c>
      <c r="AN262" s="5">
        <f>28/$AN$3</f>
        <v>0.16568047337278108</v>
      </c>
      <c r="AP262">
        <v>32</v>
      </c>
      <c r="AQ262" s="5">
        <f>AP262/AP269</f>
        <v>0.10289389067524116</v>
      </c>
      <c r="AR262" s="5">
        <f>32/$AR$3</f>
        <v>0.10289389067524116</v>
      </c>
      <c r="AT262">
        <v>58</v>
      </c>
      <c r="AU262" s="5">
        <f>AT262/AT269</f>
        <v>0.14871794871794872</v>
      </c>
      <c r="AV262" s="5">
        <f>58/$AV$3</f>
        <v>0.14871794871794872</v>
      </c>
      <c r="AX262">
        <v>20</v>
      </c>
      <c r="AY262" s="5">
        <f>AX262/AX269</f>
        <v>0.15384615384615385</v>
      </c>
      <c r="AZ262" s="5">
        <f>20/$AZ$3</f>
        <v>0.15384615384615385</v>
      </c>
      <c r="BB262">
        <v>62</v>
      </c>
      <c r="BC262" s="5">
        <f>BB262/BB269</f>
        <v>0.15270935960591134</v>
      </c>
      <c r="BD262" s="5">
        <f>62/$BD$3</f>
        <v>0.15270935960591134</v>
      </c>
      <c r="BF262">
        <v>54</v>
      </c>
      <c r="BG262" s="5">
        <f>BF262/BF269</f>
        <v>0.14516129032258066</v>
      </c>
      <c r="BH262" s="5">
        <f>54/$BH$3</f>
        <v>0.14516129032258066</v>
      </c>
      <c r="BJ262">
        <v>22</v>
      </c>
      <c r="BK262" s="5">
        <f>BJ262/BJ269</f>
        <v>9.90990990990991E-2</v>
      </c>
      <c r="BL262" s="5">
        <f>22/$BL$3</f>
        <v>9.90990990990991E-2</v>
      </c>
      <c r="BN262">
        <v>52</v>
      </c>
      <c r="BO262" s="5">
        <f>BN262/BN269</f>
        <v>0.1368421052631579</v>
      </c>
      <c r="BP262" s="5">
        <f>52/$BP$3</f>
        <v>0.1368421052631579</v>
      </c>
      <c r="BR262">
        <v>52</v>
      </c>
      <c r="BS262" s="5">
        <f>BR262/BR269</f>
        <v>0.14054054054054055</v>
      </c>
      <c r="BT262" s="5">
        <f>52/$BT$3</f>
        <v>0.14054054054054055</v>
      </c>
      <c r="BV262">
        <v>34</v>
      </c>
      <c r="BW262" s="5">
        <f>BV262/BV269</f>
        <v>0.13600000000000001</v>
      </c>
      <c r="BX262" s="5">
        <f>34/$BX$3</f>
        <v>0.13600000000000001</v>
      </c>
      <c r="BZ262">
        <v>26</v>
      </c>
      <c r="CA262" s="5">
        <f>BZ262/BZ269</f>
        <v>0.104</v>
      </c>
      <c r="CB262" s="5">
        <f>26/$CB$3</f>
        <v>0.104</v>
      </c>
      <c r="CD262">
        <v>33</v>
      </c>
      <c r="CE262" s="5">
        <f>CD262/CD269</f>
        <v>0.15714285714285714</v>
      </c>
      <c r="CF262" s="5">
        <f>33/$CF$3</f>
        <v>0.15714285714285714</v>
      </c>
      <c r="CH262">
        <v>39</v>
      </c>
      <c r="CI262" s="5">
        <f>CH262/CH269</f>
        <v>0.17727272727272728</v>
      </c>
      <c r="CJ262" s="5">
        <f>39/$CJ$3</f>
        <v>0.17727272727272728</v>
      </c>
      <c r="CL262">
        <v>40</v>
      </c>
      <c r="CM262" s="5">
        <f>CL262/CL269</f>
        <v>0.125</v>
      </c>
      <c r="CN262" s="5">
        <f>40/$CN$3</f>
        <v>0.125</v>
      </c>
    </row>
    <row r="263" spans="1:92" x14ac:dyDescent="0.25">
      <c r="A263" s="1" t="s">
        <v>2145</v>
      </c>
      <c r="B263">
        <v>45</v>
      </c>
      <c r="C263" s="5">
        <f>B263/B269</f>
        <v>4.4999999999999998E-2</v>
      </c>
      <c r="D263" s="5">
        <f>45/$D$3</f>
        <v>4.4999999999999998E-2</v>
      </c>
      <c r="F263">
        <v>19</v>
      </c>
      <c r="G263" s="5">
        <f>F263/F269</f>
        <v>4.025423728813559E-2</v>
      </c>
      <c r="H263" s="5">
        <f>19/$H$3</f>
        <v>4.025423728813559E-2</v>
      </c>
      <c r="J263">
        <v>17</v>
      </c>
      <c r="K263" s="5">
        <f>J263/J269</f>
        <v>5.9649122807017542E-2</v>
      </c>
      <c r="L263" s="5">
        <f>17/$L$3</f>
        <v>5.9649122807017542E-2</v>
      </c>
      <c r="N263">
        <v>12</v>
      </c>
      <c r="O263" s="5">
        <f>N263/N269</f>
        <v>5.1724137931034482E-2</v>
      </c>
      <c r="P263" s="5">
        <f>12/$P$3</f>
        <v>5.1724137931034482E-2</v>
      </c>
      <c r="R263">
        <v>12</v>
      </c>
      <c r="S263" s="5">
        <f>R263/R269</f>
        <v>4.0816326530612242E-2</v>
      </c>
      <c r="T263" s="5">
        <f>12/$T$3</f>
        <v>4.0816326530612242E-2</v>
      </c>
      <c r="V263">
        <v>17</v>
      </c>
      <c r="W263" s="5">
        <f>V263/V269</f>
        <v>4.0865384615384616E-2</v>
      </c>
      <c r="X263" s="5">
        <f>17/$X$3</f>
        <v>4.0865384615384616E-2</v>
      </c>
      <c r="Z263">
        <v>17</v>
      </c>
      <c r="AA263" s="5">
        <f>Z263/Z269</f>
        <v>4.0476190476190478E-2</v>
      </c>
      <c r="AB263" s="5">
        <f>17/$AB$3</f>
        <v>4.0476190476190478E-2</v>
      </c>
      <c r="AD263">
        <v>15</v>
      </c>
      <c r="AE263" s="5">
        <f>AD263/AD269</f>
        <v>0.03</v>
      </c>
      <c r="AF263" s="5">
        <f>15/$AF$3</f>
        <v>0.03</v>
      </c>
      <c r="AH263">
        <v>30</v>
      </c>
      <c r="AI263" s="5">
        <f>AH263/AH269</f>
        <v>0.06</v>
      </c>
      <c r="AJ263" s="5">
        <f>30/$AJ$3</f>
        <v>0.06</v>
      </c>
      <c r="AL263">
        <v>6</v>
      </c>
      <c r="AM263" s="5">
        <f>AL263/AL269</f>
        <v>3.5502958579881658E-2</v>
      </c>
      <c r="AN263" s="5">
        <f>6/$AN$3</f>
        <v>3.5502958579881658E-2</v>
      </c>
      <c r="AP263">
        <v>14</v>
      </c>
      <c r="AQ263" s="5">
        <f>AP263/AP269</f>
        <v>4.5016077170418008E-2</v>
      </c>
      <c r="AR263" s="5">
        <f>14/$AR$3</f>
        <v>4.5016077170418008E-2</v>
      </c>
      <c r="AT263">
        <v>19</v>
      </c>
      <c r="AU263" s="5">
        <f>AT263/AT269</f>
        <v>4.8717948717948718E-2</v>
      </c>
      <c r="AV263" s="5">
        <f>19/$AV$3</f>
        <v>4.8717948717948718E-2</v>
      </c>
      <c r="AX263">
        <v>6</v>
      </c>
      <c r="AY263" s="5">
        <f>AX263/AX269</f>
        <v>4.6153846153846156E-2</v>
      </c>
      <c r="AZ263" s="5">
        <f>6/$AZ$3</f>
        <v>4.6153846153846156E-2</v>
      </c>
      <c r="BB263">
        <v>24</v>
      </c>
      <c r="BC263" s="5">
        <f>BB263/BB269</f>
        <v>5.9113300492610835E-2</v>
      </c>
      <c r="BD263" s="5">
        <f>24/$BD$3</f>
        <v>5.9113300492610835E-2</v>
      </c>
      <c r="BF263">
        <v>11</v>
      </c>
      <c r="BG263" s="5">
        <f>BF263/BF269</f>
        <v>2.9569892473118281E-2</v>
      </c>
      <c r="BH263" s="5">
        <f>11/$BH$3</f>
        <v>2.9569892473118281E-2</v>
      </c>
      <c r="BJ263">
        <v>10</v>
      </c>
      <c r="BK263" s="5">
        <f>BJ263/BJ269</f>
        <v>4.5045045045045043E-2</v>
      </c>
      <c r="BL263" s="5">
        <f>10/$BL$3</f>
        <v>4.5045045045045043E-2</v>
      </c>
      <c r="BN263">
        <v>18</v>
      </c>
      <c r="BO263" s="5">
        <f>BN263/BN269</f>
        <v>4.736842105263158E-2</v>
      </c>
      <c r="BP263" s="5">
        <f>18/$BP$3</f>
        <v>4.736842105263158E-2</v>
      </c>
      <c r="BR263">
        <v>19</v>
      </c>
      <c r="BS263" s="5">
        <f>BR263/BR269</f>
        <v>5.1351351351351354E-2</v>
      </c>
      <c r="BT263" s="5">
        <f>19/$BT$3</f>
        <v>5.1351351351351354E-2</v>
      </c>
      <c r="BV263">
        <v>8</v>
      </c>
      <c r="BW263" s="5">
        <f>BV263/BV269</f>
        <v>3.2000000000000001E-2</v>
      </c>
      <c r="BX263" s="5">
        <f>8/$BX$3</f>
        <v>3.2000000000000001E-2</v>
      </c>
      <c r="BZ263">
        <v>11</v>
      </c>
      <c r="CA263" s="5">
        <f>BZ263/BZ269</f>
        <v>4.3999999999999997E-2</v>
      </c>
      <c r="CB263" s="5">
        <f>11/$CB$3</f>
        <v>4.3999999999999997E-2</v>
      </c>
      <c r="CD263">
        <v>9</v>
      </c>
      <c r="CE263" s="5">
        <f>CD263/CD269</f>
        <v>4.2857142857142858E-2</v>
      </c>
      <c r="CF263" s="5">
        <f>9/$CF$3</f>
        <v>4.2857142857142858E-2</v>
      </c>
      <c r="CH263">
        <v>11</v>
      </c>
      <c r="CI263" s="5">
        <f>CH263/CH269</f>
        <v>0.05</v>
      </c>
      <c r="CJ263" s="5">
        <f>11/$CJ$3</f>
        <v>0.05</v>
      </c>
      <c r="CL263">
        <v>14</v>
      </c>
      <c r="CM263" s="5">
        <f>CL263/CL269</f>
        <v>4.3749999999999997E-2</v>
      </c>
      <c r="CN263" s="5">
        <f>14/$CN$3</f>
        <v>4.3749999999999997E-2</v>
      </c>
    </row>
    <row r="264" spans="1:92" x14ac:dyDescent="0.25">
      <c r="A264" s="1" t="s">
        <v>2146</v>
      </c>
      <c r="B264">
        <v>49</v>
      </c>
      <c r="C264" s="5">
        <f>B264/B269</f>
        <v>4.9000000000000002E-2</v>
      </c>
      <c r="D264" s="5">
        <f>49/$D$3</f>
        <v>4.9000000000000002E-2</v>
      </c>
      <c r="F264">
        <v>28</v>
      </c>
      <c r="G264" s="5">
        <f>F264/F269</f>
        <v>5.9322033898305086E-2</v>
      </c>
      <c r="H264" s="5">
        <f>28/$H$3</f>
        <v>5.9322033898305086E-2</v>
      </c>
      <c r="J264">
        <v>21</v>
      </c>
      <c r="K264" s="5">
        <f>J264/J269</f>
        <v>7.3684210526315783E-2</v>
      </c>
      <c r="L264" s="5">
        <f>21/$L$3</f>
        <v>7.3684210526315783E-2</v>
      </c>
      <c r="N264">
        <v>13</v>
      </c>
      <c r="O264" s="5">
        <f>N264/N269</f>
        <v>5.6034482758620691E-2</v>
      </c>
      <c r="P264" s="5">
        <f>13/$P$3</f>
        <v>5.6034482758620691E-2</v>
      </c>
      <c r="R264">
        <v>21</v>
      </c>
      <c r="S264" s="5">
        <f>R264/R269</f>
        <v>7.1428571428571425E-2</v>
      </c>
      <c r="T264" s="5">
        <f>21/$T$3</f>
        <v>7.1428571428571425E-2</v>
      </c>
      <c r="V264">
        <v>26</v>
      </c>
      <c r="W264" s="5">
        <f>V264/V269</f>
        <v>6.25E-2</v>
      </c>
      <c r="X264" s="5">
        <f>26/$X$3</f>
        <v>6.25E-2</v>
      </c>
      <c r="Z264">
        <v>27</v>
      </c>
      <c r="AA264" s="5">
        <f>Z264/Z269</f>
        <v>6.4285714285714279E-2</v>
      </c>
      <c r="AB264" s="5">
        <f>27/$AB$3</f>
        <v>6.4285714285714279E-2</v>
      </c>
      <c r="AD264">
        <v>21</v>
      </c>
      <c r="AE264" s="5">
        <f>AD264/AD269</f>
        <v>4.2000000000000003E-2</v>
      </c>
      <c r="AF264" s="5">
        <f>21/$AF$3</f>
        <v>4.2000000000000003E-2</v>
      </c>
      <c r="AH264">
        <v>28</v>
      </c>
      <c r="AI264" s="5">
        <f>AH264/AH269</f>
        <v>5.6000000000000001E-2</v>
      </c>
      <c r="AJ264" s="5">
        <f>28/$AJ$3</f>
        <v>5.6000000000000001E-2</v>
      </c>
      <c r="AL264">
        <v>12</v>
      </c>
      <c r="AM264" s="5">
        <f>AL264/AL269</f>
        <v>7.1005917159763315E-2</v>
      </c>
      <c r="AN264" s="5">
        <f>12/$AN$3</f>
        <v>7.1005917159763315E-2</v>
      </c>
      <c r="AP264">
        <v>17</v>
      </c>
      <c r="AQ264" s="5">
        <f>AP264/AP269</f>
        <v>5.4662379421221867E-2</v>
      </c>
      <c r="AR264" s="5">
        <f>17/$AR$3</f>
        <v>5.4662379421221867E-2</v>
      </c>
      <c r="AT264">
        <v>15</v>
      </c>
      <c r="AU264" s="5">
        <f>AT264/AT269</f>
        <v>3.8461538461538464E-2</v>
      </c>
      <c r="AV264" s="5">
        <f>15/$AV$3</f>
        <v>3.8461538461538464E-2</v>
      </c>
      <c r="AX264">
        <v>5</v>
      </c>
      <c r="AY264" s="5">
        <f>AX264/AX269</f>
        <v>3.8461538461538464E-2</v>
      </c>
      <c r="AZ264" s="5">
        <f>5/$AZ$3</f>
        <v>3.8461538461538464E-2</v>
      </c>
      <c r="BB264">
        <v>21</v>
      </c>
      <c r="BC264" s="5">
        <f>BB264/BB269</f>
        <v>5.1724137931034482E-2</v>
      </c>
      <c r="BD264" s="5">
        <f>21/$BD$3</f>
        <v>5.1724137931034482E-2</v>
      </c>
      <c r="BF264">
        <v>17</v>
      </c>
      <c r="BG264" s="5">
        <f>BF264/BF269</f>
        <v>4.5698924731182797E-2</v>
      </c>
      <c r="BH264" s="5">
        <f>17/$BH$3</f>
        <v>4.5698924731182797E-2</v>
      </c>
      <c r="BJ264">
        <v>11</v>
      </c>
      <c r="BK264" s="5">
        <f>BJ264/BJ269</f>
        <v>4.954954954954955E-2</v>
      </c>
      <c r="BL264" s="5">
        <f>11/$BL$3</f>
        <v>4.954954954954955E-2</v>
      </c>
      <c r="BN264">
        <v>17</v>
      </c>
      <c r="BO264" s="5">
        <f>BN264/BN269</f>
        <v>4.4736842105263158E-2</v>
      </c>
      <c r="BP264" s="5">
        <f>17/$BP$3</f>
        <v>4.4736842105263158E-2</v>
      </c>
      <c r="BR264">
        <v>21</v>
      </c>
      <c r="BS264" s="5">
        <f>BR264/BR269</f>
        <v>5.675675675675676E-2</v>
      </c>
      <c r="BT264" s="5">
        <f>21/$BT$3</f>
        <v>5.675675675675676E-2</v>
      </c>
      <c r="BV264">
        <v>11</v>
      </c>
      <c r="BW264" s="5">
        <f>BV264/BV269</f>
        <v>4.3999999999999997E-2</v>
      </c>
      <c r="BX264" s="5">
        <f>11/$BX$3</f>
        <v>4.3999999999999997E-2</v>
      </c>
      <c r="BZ264">
        <v>12</v>
      </c>
      <c r="CA264" s="5">
        <f>BZ264/BZ269</f>
        <v>4.8000000000000001E-2</v>
      </c>
      <c r="CB264" s="5">
        <f>12/$CB$3</f>
        <v>4.8000000000000001E-2</v>
      </c>
      <c r="CD264">
        <v>8</v>
      </c>
      <c r="CE264" s="5">
        <f>CD264/CD269</f>
        <v>3.8095238095238099E-2</v>
      </c>
      <c r="CF264" s="5">
        <f>8/$CF$3</f>
        <v>3.8095238095238099E-2</v>
      </c>
      <c r="CH264">
        <v>14</v>
      </c>
      <c r="CI264" s="5">
        <f>CH264/CH269</f>
        <v>6.363636363636363E-2</v>
      </c>
      <c r="CJ264" s="5">
        <f>14/$CJ$3</f>
        <v>6.363636363636363E-2</v>
      </c>
      <c r="CL264">
        <v>15</v>
      </c>
      <c r="CM264" s="5">
        <f>CL264/CL269</f>
        <v>4.6875E-2</v>
      </c>
      <c r="CN264" s="5">
        <f>15/$CN$3</f>
        <v>4.6875E-2</v>
      </c>
    </row>
    <row r="265" spans="1:92" x14ac:dyDescent="0.25">
      <c r="A265" s="1" t="s">
        <v>2147</v>
      </c>
      <c r="B265">
        <v>68</v>
      </c>
      <c r="C265" s="5">
        <f>B265/B269</f>
        <v>6.8000000000000005E-2</v>
      </c>
      <c r="D265" s="5">
        <f>68/$D$3</f>
        <v>6.8000000000000005E-2</v>
      </c>
      <c r="F265">
        <v>42</v>
      </c>
      <c r="G265" s="5">
        <f>F265/F269</f>
        <v>8.8983050847457626E-2</v>
      </c>
      <c r="H265" s="5">
        <f>42/$H$3</f>
        <v>8.8983050847457626E-2</v>
      </c>
      <c r="J265">
        <v>28</v>
      </c>
      <c r="K265" s="5">
        <f>J265/J269</f>
        <v>9.8245614035087719E-2</v>
      </c>
      <c r="L265" s="5">
        <f>28/$L$3</f>
        <v>9.8245614035087719E-2</v>
      </c>
      <c r="N265">
        <v>23</v>
      </c>
      <c r="O265" s="5">
        <f>N265/N269</f>
        <v>9.9137931034482762E-2</v>
      </c>
      <c r="P265" s="5">
        <f>23/$P$3</f>
        <v>9.9137931034482762E-2</v>
      </c>
      <c r="R265">
        <v>30</v>
      </c>
      <c r="S265" s="5">
        <f>R265/R269</f>
        <v>0.10204081632653061</v>
      </c>
      <c r="T265" s="5">
        <f>30/$T$3</f>
        <v>0.10204081632653061</v>
      </c>
      <c r="V265">
        <v>41</v>
      </c>
      <c r="W265" s="5">
        <f>V265/V269</f>
        <v>9.8557692307692304E-2</v>
      </c>
      <c r="X265" s="5">
        <f>41/$X$3</f>
        <v>9.8557692307692304E-2</v>
      </c>
      <c r="Z265">
        <v>39</v>
      </c>
      <c r="AA265" s="5">
        <f>Z265/Z269</f>
        <v>9.285714285714286E-2</v>
      </c>
      <c r="AB265" s="5">
        <f>39/$AB$3</f>
        <v>9.285714285714286E-2</v>
      </c>
      <c r="AD265">
        <v>39</v>
      </c>
      <c r="AE265" s="5">
        <f>AD265/AD269</f>
        <v>7.8E-2</v>
      </c>
      <c r="AF265" s="5">
        <f>39/$AF$3</f>
        <v>7.8E-2</v>
      </c>
      <c r="AH265">
        <v>29</v>
      </c>
      <c r="AI265" s="5">
        <f>AH265/AH269</f>
        <v>5.8000000000000003E-2</v>
      </c>
      <c r="AJ265" s="5">
        <f>29/$AJ$3</f>
        <v>5.8000000000000003E-2</v>
      </c>
      <c r="AL265">
        <v>14</v>
      </c>
      <c r="AM265" s="5">
        <f>AL265/AL269</f>
        <v>8.2840236686390539E-2</v>
      </c>
      <c r="AN265" s="5">
        <f>14/$AN$3</f>
        <v>8.2840236686390539E-2</v>
      </c>
      <c r="AP265">
        <v>26</v>
      </c>
      <c r="AQ265" s="5">
        <f>AP265/AP269</f>
        <v>8.3601286173633438E-2</v>
      </c>
      <c r="AR265" s="5">
        <f>26/$AR$3</f>
        <v>8.3601286173633438E-2</v>
      </c>
      <c r="AT265">
        <v>20</v>
      </c>
      <c r="AU265" s="5">
        <f>AT265/AT269</f>
        <v>5.128205128205128E-2</v>
      </c>
      <c r="AV265" s="5">
        <f>20/$AV$3</f>
        <v>5.128205128205128E-2</v>
      </c>
      <c r="AX265">
        <v>8</v>
      </c>
      <c r="AY265" s="5">
        <f>AX265/AX269</f>
        <v>6.1538461538461542E-2</v>
      </c>
      <c r="AZ265" s="5">
        <f>8/$AZ$3</f>
        <v>6.1538461538461542E-2</v>
      </c>
      <c r="BB265">
        <v>23</v>
      </c>
      <c r="BC265" s="5">
        <f>BB265/BB269</f>
        <v>5.6650246305418719E-2</v>
      </c>
      <c r="BD265" s="5">
        <f>23/$BD$3</f>
        <v>5.6650246305418719E-2</v>
      </c>
      <c r="BF265">
        <v>26</v>
      </c>
      <c r="BG265" s="5">
        <f>BF265/BF269</f>
        <v>6.9892473118279563E-2</v>
      </c>
      <c r="BH265" s="5">
        <f>26/$BH$3</f>
        <v>6.9892473118279563E-2</v>
      </c>
      <c r="BJ265">
        <v>19</v>
      </c>
      <c r="BK265" s="5">
        <f>BJ265/BJ269</f>
        <v>8.5585585585585586E-2</v>
      </c>
      <c r="BL265" s="5">
        <f>19/$BL$3</f>
        <v>8.5585585585585586E-2</v>
      </c>
      <c r="BN265">
        <v>21</v>
      </c>
      <c r="BO265" s="5">
        <f>BN265/BN269</f>
        <v>5.526315789473684E-2</v>
      </c>
      <c r="BP265" s="5">
        <f>21/$BP$3</f>
        <v>5.526315789473684E-2</v>
      </c>
      <c r="BR265">
        <v>22</v>
      </c>
      <c r="BS265" s="5">
        <f>BR265/BR269</f>
        <v>5.9459459459459463E-2</v>
      </c>
      <c r="BT265" s="5">
        <f>22/$BT$3</f>
        <v>5.9459459459459463E-2</v>
      </c>
      <c r="BV265">
        <v>25</v>
      </c>
      <c r="BW265" s="5">
        <f>BV265/BV269</f>
        <v>0.1</v>
      </c>
      <c r="BX265" s="5">
        <f>25/$BX$3</f>
        <v>0.1</v>
      </c>
      <c r="BZ265">
        <v>14</v>
      </c>
      <c r="CA265" s="5">
        <f>BZ265/BZ269</f>
        <v>5.6000000000000001E-2</v>
      </c>
      <c r="CB265" s="5">
        <f>14/$CB$3</f>
        <v>5.6000000000000001E-2</v>
      </c>
      <c r="CD265">
        <v>10</v>
      </c>
      <c r="CE265" s="5">
        <f>CD265/CD269</f>
        <v>4.7619047619047616E-2</v>
      </c>
      <c r="CF265" s="5">
        <f>10/$CF$3</f>
        <v>4.7619047619047616E-2</v>
      </c>
      <c r="CH265">
        <v>13</v>
      </c>
      <c r="CI265" s="5">
        <f>CH265/CH269</f>
        <v>5.909090909090909E-2</v>
      </c>
      <c r="CJ265" s="5">
        <f>13/$CJ$3</f>
        <v>5.909090909090909E-2</v>
      </c>
      <c r="CL265">
        <v>31</v>
      </c>
      <c r="CM265" s="5">
        <f>CL265/CL269</f>
        <v>9.6875000000000003E-2</v>
      </c>
      <c r="CN265" s="5">
        <f>31/$CN$3</f>
        <v>9.6875000000000003E-2</v>
      </c>
    </row>
    <row r="266" spans="1:92" x14ac:dyDescent="0.25">
      <c r="A266" s="1" t="s">
        <v>2148</v>
      </c>
      <c r="B266">
        <v>43</v>
      </c>
      <c r="C266" s="5">
        <f>B266/B269</f>
        <v>4.2999999999999997E-2</v>
      </c>
      <c r="D266" s="5">
        <f>43/$D$3</f>
        <v>4.2999999999999997E-2</v>
      </c>
      <c r="F266">
        <v>17</v>
      </c>
      <c r="G266" s="5">
        <f>F266/F269</f>
        <v>3.6016949152542374E-2</v>
      </c>
      <c r="H266" s="5">
        <f>17/$H$3</f>
        <v>3.6016949152542374E-2</v>
      </c>
      <c r="J266">
        <v>13</v>
      </c>
      <c r="K266" s="5">
        <f>J266/J269</f>
        <v>4.5614035087719301E-2</v>
      </c>
      <c r="L266" s="5">
        <f>13/$L$3</f>
        <v>4.5614035087719301E-2</v>
      </c>
      <c r="N266">
        <v>5</v>
      </c>
      <c r="O266" s="5">
        <f>N266/N269</f>
        <v>2.1551724137931036E-2</v>
      </c>
      <c r="P266" s="5">
        <f>5/$P$3</f>
        <v>2.1551724137931036E-2</v>
      </c>
      <c r="R266">
        <v>8</v>
      </c>
      <c r="S266" s="5">
        <f>R266/R269</f>
        <v>2.7210884353741496E-2</v>
      </c>
      <c r="T266" s="5">
        <f>8/$T$3</f>
        <v>2.7210884353741496E-2</v>
      </c>
      <c r="V266">
        <v>15</v>
      </c>
      <c r="W266" s="5">
        <f>V266/V269</f>
        <v>3.6057692307692304E-2</v>
      </c>
      <c r="X266" s="5">
        <f>15/$X$3</f>
        <v>3.6057692307692304E-2</v>
      </c>
      <c r="Z266">
        <v>14</v>
      </c>
      <c r="AA266" s="5">
        <f>Z266/Z269</f>
        <v>3.3333333333333333E-2</v>
      </c>
      <c r="AB266" s="5">
        <f>14/$AB$3</f>
        <v>3.3333333333333333E-2</v>
      </c>
      <c r="AD266">
        <v>18</v>
      </c>
      <c r="AE266" s="5">
        <f>AD266/AD269</f>
        <v>3.5999999999999997E-2</v>
      </c>
      <c r="AF266" s="5">
        <f>18/$AF$3</f>
        <v>3.5999999999999997E-2</v>
      </c>
      <c r="AH266">
        <v>25</v>
      </c>
      <c r="AI266" s="5">
        <f>AH266/AH269</f>
        <v>0.05</v>
      </c>
      <c r="AJ266" s="5">
        <f>25/$AJ$3</f>
        <v>0.05</v>
      </c>
      <c r="AL266">
        <v>8</v>
      </c>
      <c r="AM266" s="5">
        <f>AL266/AL269</f>
        <v>4.7337278106508875E-2</v>
      </c>
      <c r="AN266" s="5">
        <f>8/$AN$3</f>
        <v>4.7337278106508875E-2</v>
      </c>
      <c r="AP266">
        <v>17</v>
      </c>
      <c r="AQ266" s="5">
        <f>AP266/AP269</f>
        <v>5.4662379421221867E-2</v>
      </c>
      <c r="AR266" s="5">
        <f>17/$AR$3</f>
        <v>5.4662379421221867E-2</v>
      </c>
      <c r="AT266">
        <v>13</v>
      </c>
      <c r="AU266" s="5">
        <f>AT266/AT269</f>
        <v>3.3333333333333333E-2</v>
      </c>
      <c r="AV266" s="5">
        <f>13/$AV$3</f>
        <v>3.3333333333333333E-2</v>
      </c>
      <c r="AX266">
        <v>5</v>
      </c>
      <c r="AY266" s="5">
        <f>AX266/AX269</f>
        <v>3.8461538461538464E-2</v>
      </c>
      <c r="AZ266" s="5">
        <f>5/$AZ$3</f>
        <v>3.8461538461538464E-2</v>
      </c>
      <c r="BB266">
        <v>18</v>
      </c>
      <c r="BC266" s="5">
        <f>BB266/BB269</f>
        <v>4.4334975369458129E-2</v>
      </c>
      <c r="BD266" s="5">
        <f>18/$BD$3</f>
        <v>4.4334975369458129E-2</v>
      </c>
      <c r="BF266">
        <v>12</v>
      </c>
      <c r="BG266" s="5">
        <f>BF266/BF269</f>
        <v>3.2258064516129031E-2</v>
      </c>
      <c r="BH266" s="5">
        <f>12/$BH$3</f>
        <v>3.2258064516129031E-2</v>
      </c>
      <c r="BJ266">
        <v>13</v>
      </c>
      <c r="BK266" s="5">
        <f>BJ266/BJ269</f>
        <v>5.8558558558558557E-2</v>
      </c>
      <c r="BL266" s="5">
        <f>13/$BL$3</f>
        <v>5.8558558558558557E-2</v>
      </c>
      <c r="BN266">
        <v>18</v>
      </c>
      <c r="BO266" s="5">
        <f>BN266/BN269</f>
        <v>4.736842105263158E-2</v>
      </c>
      <c r="BP266" s="5">
        <f>18/$BP$3</f>
        <v>4.736842105263158E-2</v>
      </c>
      <c r="BR266">
        <v>14</v>
      </c>
      <c r="BS266" s="5">
        <f>BR266/BR269</f>
        <v>3.783783783783784E-2</v>
      </c>
      <c r="BT266" s="5">
        <f>14/$BT$3</f>
        <v>3.783783783783784E-2</v>
      </c>
      <c r="BV266">
        <v>11</v>
      </c>
      <c r="BW266" s="5">
        <f>BV266/BV269</f>
        <v>4.3999999999999997E-2</v>
      </c>
      <c r="BX266" s="5">
        <f>11/$BX$3</f>
        <v>4.3999999999999997E-2</v>
      </c>
      <c r="BZ266">
        <v>17</v>
      </c>
      <c r="CA266" s="5">
        <f>BZ266/BZ269</f>
        <v>6.8000000000000005E-2</v>
      </c>
      <c r="CB266" s="5">
        <f>17/$CB$3</f>
        <v>6.8000000000000005E-2</v>
      </c>
      <c r="CD266">
        <v>8</v>
      </c>
      <c r="CE266" s="5">
        <f>CD266/CD269</f>
        <v>3.8095238095238099E-2</v>
      </c>
      <c r="CF266" s="5">
        <f>8/$CF$3</f>
        <v>3.8095238095238099E-2</v>
      </c>
      <c r="CH266">
        <v>9</v>
      </c>
      <c r="CI266" s="5">
        <f>CH266/CH269</f>
        <v>4.0909090909090909E-2</v>
      </c>
      <c r="CJ266" s="5">
        <f>9/$CJ$3</f>
        <v>4.0909090909090909E-2</v>
      </c>
      <c r="CL266">
        <v>9</v>
      </c>
      <c r="CM266" s="5">
        <f>CL266/CL269</f>
        <v>2.8125000000000001E-2</v>
      </c>
      <c r="CN266" s="5">
        <f>9/$CN$3</f>
        <v>2.8125000000000001E-2</v>
      </c>
    </row>
    <row r="267" spans="1:92" x14ac:dyDescent="0.25">
      <c r="A267" s="1" t="s">
        <v>2149</v>
      </c>
      <c r="B267">
        <v>123</v>
      </c>
      <c r="C267" s="5">
        <f>B267/B269</f>
        <v>0.123</v>
      </c>
      <c r="D267" s="5">
        <f>123/$D$3</f>
        <v>0.123</v>
      </c>
      <c r="F267">
        <v>57</v>
      </c>
      <c r="G267" s="5">
        <f>F267/F269</f>
        <v>0.12076271186440678</v>
      </c>
      <c r="H267" s="5">
        <f>57/$H$3</f>
        <v>0.12076271186440678</v>
      </c>
      <c r="J267">
        <v>39</v>
      </c>
      <c r="K267" s="5">
        <f>J267/J269</f>
        <v>0.1368421052631579</v>
      </c>
      <c r="L267" s="5">
        <f>39/$L$3</f>
        <v>0.1368421052631579</v>
      </c>
      <c r="N267">
        <v>31</v>
      </c>
      <c r="O267" s="5">
        <f>N267/N269</f>
        <v>0.1336206896551724</v>
      </c>
      <c r="P267" s="5">
        <f>31/$P$3</f>
        <v>0.1336206896551724</v>
      </c>
      <c r="R267">
        <v>39</v>
      </c>
      <c r="S267" s="5">
        <f>R267/R269</f>
        <v>0.1326530612244898</v>
      </c>
      <c r="T267" s="5">
        <f>39/$T$3</f>
        <v>0.1326530612244898</v>
      </c>
      <c r="V267">
        <v>53</v>
      </c>
      <c r="W267" s="5">
        <f>V267/V269</f>
        <v>0.12740384615384615</v>
      </c>
      <c r="X267" s="5">
        <f>53/$X$3</f>
        <v>0.12740384615384615</v>
      </c>
      <c r="Z267">
        <v>49</v>
      </c>
      <c r="AA267" s="5">
        <f>Z267/Z269</f>
        <v>0.11666666666666667</v>
      </c>
      <c r="AB267" s="5">
        <f>49/$AB$3</f>
        <v>0.11666666666666667</v>
      </c>
      <c r="AD267">
        <v>69</v>
      </c>
      <c r="AE267" s="5">
        <f>AD267/AD269</f>
        <v>0.13800000000000001</v>
      </c>
      <c r="AF267" s="5">
        <f>69/$AF$3</f>
        <v>0.13800000000000001</v>
      </c>
      <c r="AH267">
        <v>54</v>
      </c>
      <c r="AI267" s="5">
        <f>AH267/AH269</f>
        <v>0.108</v>
      </c>
      <c r="AJ267" s="5">
        <f>54/$AJ$3</f>
        <v>0.108</v>
      </c>
      <c r="AL267">
        <v>24</v>
      </c>
      <c r="AM267" s="5">
        <f>AL267/AL269</f>
        <v>0.14201183431952663</v>
      </c>
      <c r="AN267" s="5">
        <f>24/$AN$3</f>
        <v>0.14201183431952663</v>
      </c>
      <c r="AP267">
        <v>33</v>
      </c>
      <c r="AQ267" s="5">
        <f>AP267/AP269</f>
        <v>0.10610932475884244</v>
      </c>
      <c r="AR267" s="5">
        <f>33/$AR$3</f>
        <v>0.10610932475884244</v>
      </c>
      <c r="AT267">
        <v>49</v>
      </c>
      <c r="AU267" s="5">
        <f>AT267/AT269</f>
        <v>0.12564102564102564</v>
      </c>
      <c r="AV267" s="5">
        <f>49/$AV$3</f>
        <v>0.12564102564102564</v>
      </c>
      <c r="AX267">
        <v>17</v>
      </c>
      <c r="AY267" s="5">
        <f>AX267/AX269</f>
        <v>0.13076923076923078</v>
      </c>
      <c r="AZ267" s="5">
        <f>17/$AZ$3</f>
        <v>0.13076923076923078</v>
      </c>
      <c r="BB267">
        <v>67</v>
      </c>
      <c r="BC267" s="5">
        <f>BB267/BB269</f>
        <v>0.16502463054187191</v>
      </c>
      <c r="BD267" s="5">
        <f>67/$BD$3</f>
        <v>0.16502463054187191</v>
      </c>
      <c r="BE267" s="12"/>
      <c r="BF267">
        <v>34</v>
      </c>
      <c r="BG267" s="5">
        <f>BF267/BF269</f>
        <v>9.1397849462365593E-2</v>
      </c>
      <c r="BH267" s="5">
        <f>34/$BH$3</f>
        <v>9.1397849462365593E-2</v>
      </c>
      <c r="BJ267">
        <v>22</v>
      </c>
      <c r="BK267" s="5">
        <f>BJ267/BJ269</f>
        <v>9.90990990990991E-2</v>
      </c>
      <c r="BL267" s="5">
        <f>22/$BL$3</f>
        <v>9.90990990990991E-2</v>
      </c>
      <c r="BN267">
        <v>56</v>
      </c>
      <c r="BO267" s="5">
        <f>BN267/BN269</f>
        <v>0.14736842105263157</v>
      </c>
      <c r="BP267" s="5">
        <f>56/$BP$3</f>
        <v>0.14736842105263157</v>
      </c>
      <c r="BR267">
        <v>35</v>
      </c>
      <c r="BS267" s="5">
        <f>BR267/BR269</f>
        <v>9.45945945945946E-2</v>
      </c>
      <c r="BT267" s="5">
        <f>35/$BT$3</f>
        <v>9.45945945945946E-2</v>
      </c>
      <c r="BV267">
        <v>32</v>
      </c>
      <c r="BW267" s="5">
        <f>BV267/BV269</f>
        <v>0.128</v>
      </c>
      <c r="BX267" s="5">
        <f>32/$BX$3</f>
        <v>0.128</v>
      </c>
      <c r="BZ267">
        <v>46</v>
      </c>
      <c r="CA267" s="5">
        <f>BZ267/BZ269</f>
        <v>0.184</v>
      </c>
      <c r="CB267" s="10">
        <f>46/$CB$3</f>
        <v>0.184</v>
      </c>
      <c r="CC267" s="12"/>
      <c r="CD267">
        <v>20</v>
      </c>
      <c r="CE267" s="5">
        <f>CD267/CD269</f>
        <v>9.5238095238095233E-2</v>
      </c>
      <c r="CF267" s="5">
        <f>20/$CF$3</f>
        <v>9.5238095238095233E-2</v>
      </c>
      <c r="CH267">
        <v>28</v>
      </c>
      <c r="CI267" s="5">
        <f>CH267/CH269</f>
        <v>0.12727272727272726</v>
      </c>
      <c r="CJ267" s="5">
        <f>28/$CJ$3</f>
        <v>0.12727272727272726</v>
      </c>
      <c r="CL267">
        <v>29</v>
      </c>
      <c r="CM267" s="5">
        <f>CL267/CL269</f>
        <v>9.0624999999999997E-2</v>
      </c>
      <c r="CN267" s="5">
        <f>29/$CN$3</f>
        <v>9.0624999999999997E-2</v>
      </c>
    </row>
    <row r="268" spans="1:92" x14ac:dyDescent="0.25">
      <c r="A268" s="1" t="s">
        <v>12</v>
      </c>
      <c r="B268">
        <v>557</v>
      </c>
      <c r="C268" s="5">
        <f>B268/B269</f>
        <v>0.55700000000000005</v>
      </c>
      <c r="D268" s="5">
        <f>557/$D$3</f>
        <v>0.55700000000000005</v>
      </c>
      <c r="F268">
        <v>248</v>
      </c>
      <c r="G268" s="5">
        <f>F268/F269</f>
        <v>0.52542372881355937</v>
      </c>
      <c r="H268" s="5">
        <f>248/$H$3</f>
        <v>0.52542372881355937</v>
      </c>
      <c r="J268">
        <v>137</v>
      </c>
      <c r="K268" s="5">
        <f>J268/J269</f>
        <v>0.48070175438596491</v>
      </c>
      <c r="L268" s="11">
        <f>137/$L$3</f>
        <v>0.48070175438596491</v>
      </c>
      <c r="N268">
        <v>110</v>
      </c>
      <c r="O268" s="5">
        <f>N268/N269</f>
        <v>0.47413793103448276</v>
      </c>
      <c r="P268" s="11">
        <f>110/$P$3</f>
        <v>0.47413793103448276</v>
      </c>
      <c r="R268">
        <v>152</v>
      </c>
      <c r="S268" s="5">
        <f>R268/R269</f>
        <v>0.51700680272108845</v>
      </c>
      <c r="T268" s="5">
        <f>152/$T$3</f>
        <v>0.51700680272108845</v>
      </c>
      <c r="V268">
        <v>209</v>
      </c>
      <c r="W268" s="5">
        <f>V268/V269</f>
        <v>0.50240384615384615</v>
      </c>
      <c r="X268" s="11">
        <f>209/$X$3</f>
        <v>0.50240384615384615</v>
      </c>
      <c r="Z268">
        <v>216</v>
      </c>
      <c r="AA268" s="5">
        <f>Z268/Z269</f>
        <v>0.51428571428571423</v>
      </c>
      <c r="AB268" s="5">
        <f>216/$AB$3</f>
        <v>0.51428571428571423</v>
      </c>
      <c r="AD268">
        <v>298</v>
      </c>
      <c r="AE268" s="5">
        <f>AD268/AD269</f>
        <v>0.59599999999999997</v>
      </c>
      <c r="AF268" s="5">
        <f>298/$AF$3</f>
        <v>0.59599999999999997</v>
      </c>
      <c r="AH268">
        <v>259</v>
      </c>
      <c r="AI268" s="5">
        <f>AH268/AH269</f>
        <v>0.51800000000000002</v>
      </c>
      <c r="AJ268" s="5">
        <f>259/$AJ$3</f>
        <v>0.51800000000000002</v>
      </c>
      <c r="AL268">
        <v>85</v>
      </c>
      <c r="AM268" s="5">
        <f>AL268/AL269</f>
        <v>0.50295857988165682</v>
      </c>
      <c r="AN268" s="5">
        <f>85/$AN$3</f>
        <v>0.50295857988165682</v>
      </c>
      <c r="AP268">
        <v>177</v>
      </c>
      <c r="AQ268" s="5">
        <f>AP268/AP269</f>
        <v>0.56913183279742763</v>
      </c>
      <c r="AR268" s="5">
        <f>177/$AR$3</f>
        <v>0.56913183279742763</v>
      </c>
      <c r="AT268">
        <v>222</v>
      </c>
      <c r="AU268" s="5">
        <f>AT268/AT269</f>
        <v>0.56923076923076921</v>
      </c>
      <c r="AV268" s="5">
        <f>222/$AV$3</f>
        <v>0.56923076923076921</v>
      </c>
      <c r="AX268">
        <v>73</v>
      </c>
      <c r="AY268" s="5">
        <f>AX268/AX269</f>
        <v>0.56153846153846154</v>
      </c>
      <c r="AZ268" s="5">
        <f>73/$AZ$3</f>
        <v>0.56153846153846154</v>
      </c>
      <c r="BB268">
        <v>208</v>
      </c>
      <c r="BC268" s="5">
        <f>BB268/BB269</f>
        <v>0.51231527093596063</v>
      </c>
      <c r="BD268" s="5">
        <f>208/$BD$3</f>
        <v>0.51231527093596063</v>
      </c>
      <c r="BF268">
        <v>227</v>
      </c>
      <c r="BG268" s="5">
        <f>BF268/BF269</f>
        <v>0.61021505376344087</v>
      </c>
      <c r="BH268" s="10">
        <f>227/$BH$3</f>
        <v>0.61021505376344087</v>
      </c>
      <c r="BJ268">
        <v>122</v>
      </c>
      <c r="BK268" s="5">
        <f>BJ268/BJ269</f>
        <v>0.5495495495495496</v>
      </c>
      <c r="BL268" s="5">
        <f>122/$BL$3</f>
        <v>0.5495495495495496</v>
      </c>
      <c r="BN268">
        <v>208</v>
      </c>
      <c r="BO268" s="5">
        <f>BN268/BN269</f>
        <v>0.54736842105263162</v>
      </c>
      <c r="BP268" s="5">
        <f>208/$BP$3</f>
        <v>0.54736842105263162</v>
      </c>
      <c r="BR268">
        <v>216</v>
      </c>
      <c r="BS268" s="5">
        <f>BR268/BR269</f>
        <v>0.58378378378378382</v>
      </c>
      <c r="BT268" s="5">
        <f>216/$BT$3</f>
        <v>0.58378378378378382</v>
      </c>
      <c r="BV268">
        <v>133</v>
      </c>
      <c r="BW268" s="5">
        <f>BV268/BV269</f>
        <v>0.53200000000000003</v>
      </c>
      <c r="BX268" s="5">
        <f>133/$BX$3</f>
        <v>0.53200000000000003</v>
      </c>
      <c r="BZ268">
        <v>132</v>
      </c>
      <c r="CA268" s="5">
        <f>BZ268/BZ269</f>
        <v>0.52800000000000002</v>
      </c>
      <c r="CB268" s="5">
        <f>132/$CB$3</f>
        <v>0.52800000000000002</v>
      </c>
      <c r="CD268">
        <v>120</v>
      </c>
      <c r="CE268" s="5">
        <f>CD268/CD269</f>
        <v>0.5714285714285714</v>
      </c>
      <c r="CF268" s="5">
        <f>120/$CF$3</f>
        <v>0.5714285714285714</v>
      </c>
      <c r="CH268">
        <v>117</v>
      </c>
      <c r="CI268" s="5">
        <f>CH268/CH269</f>
        <v>0.53181818181818186</v>
      </c>
      <c r="CJ268" s="5">
        <f>117/$CJ$3</f>
        <v>0.53181818181818186</v>
      </c>
      <c r="CL268">
        <v>188</v>
      </c>
      <c r="CM268" s="5">
        <f>CL268/CL269</f>
        <v>0.58750000000000002</v>
      </c>
      <c r="CN268" s="5">
        <f>188/$CN$3</f>
        <v>0.58750000000000002</v>
      </c>
    </row>
    <row r="269" spans="1:92" s="6" customFormat="1" x14ac:dyDescent="0.25">
      <c r="A269" s="7" t="s">
        <v>13</v>
      </c>
      <c r="B269" s="6">
        <v>1000</v>
      </c>
      <c r="F269" s="6">
        <v>472</v>
      </c>
      <c r="J269" s="6">
        <v>285</v>
      </c>
      <c r="N269" s="6">
        <v>232</v>
      </c>
      <c r="R269" s="6">
        <v>294</v>
      </c>
      <c r="V269" s="6">
        <v>416</v>
      </c>
      <c r="Z269" s="6">
        <v>420</v>
      </c>
      <c r="AD269" s="6">
        <v>500</v>
      </c>
      <c r="AH269" s="6">
        <v>500</v>
      </c>
      <c r="AL269" s="6">
        <v>169</v>
      </c>
      <c r="AP269" s="6">
        <v>311</v>
      </c>
      <c r="AT269" s="6">
        <v>390</v>
      </c>
      <c r="AX269" s="6">
        <v>130</v>
      </c>
      <c r="BB269" s="6">
        <v>406</v>
      </c>
      <c r="BF269" s="6">
        <v>372</v>
      </c>
      <c r="BJ269" s="6">
        <v>222</v>
      </c>
      <c r="BN269" s="6">
        <v>380</v>
      </c>
      <c r="BR269" s="6">
        <v>370</v>
      </c>
      <c r="BV269" s="6">
        <v>250</v>
      </c>
      <c r="BZ269" s="6">
        <v>250</v>
      </c>
      <c r="CD269" s="6">
        <v>210</v>
      </c>
      <c r="CH269" s="6">
        <v>220</v>
      </c>
      <c r="CL269" s="6">
        <v>320</v>
      </c>
    </row>
    <row r="270" spans="1:92" hidden="1" x14ac:dyDescent="0.25">
      <c r="A270" s="8" t="s">
        <v>14</v>
      </c>
      <c r="B270">
        <v>0</v>
      </c>
      <c r="F270">
        <v>0</v>
      </c>
      <c r="J270">
        <v>0</v>
      </c>
      <c r="N270">
        <v>0</v>
      </c>
      <c r="R270">
        <v>0</v>
      </c>
      <c r="V270">
        <v>0</v>
      </c>
      <c r="Z270">
        <v>0</v>
      </c>
      <c r="AD270">
        <v>0</v>
      </c>
      <c r="AH270">
        <v>0</v>
      </c>
      <c r="AL270">
        <v>0</v>
      </c>
      <c r="AP270">
        <v>0</v>
      </c>
      <c r="AT270">
        <v>0</v>
      </c>
      <c r="AX270">
        <v>0</v>
      </c>
      <c r="BB270">
        <v>0</v>
      </c>
      <c r="BF270">
        <v>0</v>
      </c>
      <c r="BJ270">
        <v>0</v>
      </c>
      <c r="BN270">
        <v>0</v>
      </c>
      <c r="BR270">
        <v>0</v>
      </c>
      <c r="BV270">
        <v>0</v>
      </c>
      <c r="BZ270">
        <v>0</v>
      </c>
      <c r="CD270">
        <v>0</v>
      </c>
      <c r="CH270">
        <v>0</v>
      </c>
      <c r="CL270">
        <v>0</v>
      </c>
    </row>
    <row r="271" spans="1:92" hidden="1" x14ac:dyDescent="0.25">
      <c r="A271" s="8" t="s">
        <v>15</v>
      </c>
      <c r="B271">
        <v>0</v>
      </c>
      <c r="F271">
        <v>0</v>
      </c>
      <c r="J271">
        <v>0</v>
      </c>
      <c r="N271">
        <v>0</v>
      </c>
      <c r="R271">
        <v>0</v>
      </c>
      <c r="V271">
        <v>0</v>
      </c>
      <c r="Z271">
        <v>0</v>
      </c>
      <c r="AD271">
        <v>0</v>
      </c>
      <c r="AH271">
        <v>0</v>
      </c>
      <c r="AL271">
        <v>0</v>
      </c>
      <c r="AP271">
        <v>0</v>
      </c>
      <c r="AT271">
        <v>0</v>
      </c>
      <c r="AX271">
        <v>0</v>
      </c>
      <c r="BB271">
        <v>0</v>
      </c>
      <c r="BF271">
        <v>0</v>
      </c>
      <c r="BJ271">
        <v>0</v>
      </c>
      <c r="BN271">
        <v>0</v>
      </c>
      <c r="BR271">
        <v>0</v>
      </c>
      <c r="BV271">
        <v>0</v>
      </c>
      <c r="BZ271">
        <v>0</v>
      </c>
      <c r="CD271">
        <v>0</v>
      </c>
      <c r="CH271">
        <v>0</v>
      </c>
      <c r="CL271">
        <v>0</v>
      </c>
    </row>
    <row r="273" spans="1:93" x14ac:dyDescent="0.25">
      <c r="AN273" s="2" t="s">
        <v>5</v>
      </c>
      <c r="AR273" s="2" t="s">
        <v>6</v>
      </c>
      <c r="AV273" s="2" t="s">
        <v>7</v>
      </c>
      <c r="AZ273" s="2" t="s">
        <v>8</v>
      </c>
      <c r="BD273" s="2" t="s">
        <v>5</v>
      </c>
      <c r="BH273" s="2" t="s">
        <v>6</v>
      </c>
      <c r="BL273" s="2" t="s">
        <v>7</v>
      </c>
      <c r="BP273" s="2" t="s">
        <v>5</v>
      </c>
      <c r="BT273" s="2" t="s">
        <v>6</v>
      </c>
      <c r="BX273" s="2" t="s">
        <v>7</v>
      </c>
      <c r="CB273" s="2" t="s">
        <v>5</v>
      </c>
      <c r="CF273" s="2" t="s">
        <v>6</v>
      </c>
      <c r="CJ273" s="2" t="s">
        <v>7</v>
      </c>
      <c r="CN273" s="2" t="s">
        <v>8</v>
      </c>
    </row>
    <row r="274" spans="1:93" s="3" customFormat="1" x14ac:dyDescent="0.25">
      <c r="A274" s="3" t="s">
        <v>2150</v>
      </c>
      <c r="D274" s="4" t="s">
        <v>10</v>
      </c>
      <c r="H274" s="4" t="s">
        <v>10</v>
      </c>
      <c r="L274" s="4" t="s">
        <v>10</v>
      </c>
      <c r="P274" s="4" t="s">
        <v>10</v>
      </c>
      <c r="T274" s="4" t="s">
        <v>10</v>
      </c>
      <c r="X274" s="4" t="s">
        <v>10</v>
      </c>
      <c r="AB274" s="4" t="s">
        <v>10</v>
      </c>
      <c r="AF274" s="4" t="s">
        <v>10</v>
      </c>
      <c r="AJ274" s="4" t="s">
        <v>10</v>
      </c>
      <c r="AN274" s="4" t="s">
        <v>10</v>
      </c>
      <c r="AR274" s="4" t="s">
        <v>10</v>
      </c>
      <c r="AV274" s="4" t="s">
        <v>10</v>
      </c>
      <c r="AZ274" s="4" t="s">
        <v>10</v>
      </c>
      <c r="BD274" s="4" t="s">
        <v>10</v>
      </c>
      <c r="BH274" s="4" t="s">
        <v>10</v>
      </c>
      <c r="BL274" s="4" t="s">
        <v>10</v>
      </c>
      <c r="BP274" s="4" t="s">
        <v>10</v>
      </c>
      <c r="BT274" s="4" t="s">
        <v>10</v>
      </c>
      <c r="BX274" s="4" t="s">
        <v>10</v>
      </c>
      <c r="CB274" s="4" t="s">
        <v>10</v>
      </c>
      <c r="CF274" s="4" t="s">
        <v>10</v>
      </c>
      <c r="CJ274" s="4" t="s">
        <v>10</v>
      </c>
      <c r="CN274" s="4" t="s">
        <v>10</v>
      </c>
    </row>
    <row r="275" spans="1:93" x14ac:dyDescent="0.25">
      <c r="A275" s="1" t="s">
        <v>2151</v>
      </c>
      <c r="B275">
        <v>1000</v>
      </c>
      <c r="C275" s="5">
        <f>B275/B277</f>
        <v>1</v>
      </c>
      <c r="D275" s="5">
        <f>1000/$D$3</f>
        <v>1</v>
      </c>
      <c r="F275">
        <v>472</v>
      </c>
      <c r="G275" s="5">
        <f>F275/F277</f>
        <v>1</v>
      </c>
      <c r="H275" s="5">
        <f>472/$H$3</f>
        <v>1</v>
      </c>
      <c r="J275">
        <v>285</v>
      </c>
      <c r="K275" s="5">
        <f>J275/J277</f>
        <v>1</v>
      </c>
      <c r="L275" s="5">
        <f>285/$L$3</f>
        <v>1</v>
      </c>
      <c r="N275">
        <v>232</v>
      </c>
      <c r="O275" s="5">
        <f>N275/N277</f>
        <v>1</v>
      </c>
      <c r="P275" s="5">
        <f>232/$P$3</f>
        <v>1</v>
      </c>
      <c r="R275">
        <v>294</v>
      </c>
      <c r="S275" s="5">
        <f>R275/R277</f>
        <v>1</v>
      </c>
      <c r="T275" s="5">
        <f>294/$T$3</f>
        <v>1</v>
      </c>
      <c r="V275">
        <v>416</v>
      </c>
      <c r="W275" s="5">
        <f>V275/V277</f>
        <v>1</v>
      </c>
      <c r="X275" s="5">
        <f>416/$X$3</f>
        <v>1</v>
      </c>
      <c r="Z275">
        <v>420</v>
      </c>
      <c r="AA275" s="5">
        <f>Z275/Z277</f>
        <v>1</v>
      </c>
      <c r="AB275" s="5">
        <f>420/$AB$3</f>
        <v>1</v>
      </c>
      <c r="AD275">
        <v>500</v>
      </c>
      <c r="AE275" s="5">
        <f>AD275/AD277</f>
        <v>1</v>
      </c>
      <c r="AF275" s="5">
        <f>500/$AF$3</f>
        <v>1</v>
      </c>
      <c r="AH275">
        <v>500</v>
      </c>
      <c r="AI275" s="5">
        <f>AH275/AH277</f>
        <v>1</v>
      </c>
      <c r="AJ275" s="5">
        <f>500/$AJ$3</f>
        <v>1</v>
      </c>
      <c r="AL275">
        <v>169</v>
      </c>
      <c r="AM275" s="5">
        <f>AL275/AL277</f>
        <v>1</v>
      </c>
      <c r="AN275" s="5">
        <f>169/$AN$3</f>
        <v>1</v>
      </c>
      <c r="AP275">
        <v>311</v>
      </c>
      <c r="AQ275" s="5">
        <f>AP275/AP277</f>
        <v>1</v>
      </c>
      <c r="AR275" s="5">
        <f>311/$AR$3</f>
        <v>1</v>
      </c>
      <c r="AT275">
        <v>390</v>
      </c>
      <c r="AU275" s="5">
        <f>AT275/AT277</f>
        <v>1</v>
      </c>
      <c r="AV275" s="5">
        <f>390/$AV$3</f>
        <v>1</v>
      </c>
      <c r="AX275">
        <v>130</v>
      </c>
      <c r="AY275" s="5">
        <f>AX275/AX277</f>
        <v>1</v>
      </c>
      <c r="AZ275" s="5">
        <f>130/$AZ$3</f>
        <v>1</v>
      </c>
      <c r="BB275">
        <v>406</v>
      </c>
      <c r="BC275" s="5">
        <f>BB275/BB277</f>
        <v>1</v>
      </c>
      <c r="BD275" s="5">
        <f>406/$BD$3</f>
        <v>1</v>
      </c>
      <c r="BF275">
        <v>372</v>
      </c>
      <c r="BG275" s="5">
        <f>BF275/BF277</f>
        <v>1</v>
      </c>
      <c r="BH275" s="5">
        <f>372/$BH$3</f>
        <v>1</v>
      </c>
      <c r="BJ275">
        <v>222</v>
      </c>
      <c r="BK275" s="5">
        <f>BJ275/BJ277</f>
        <v>1</v>
      </c>
      <c r="BL275" s="5">
        <f>222/$BL$3</f>
        <v>1</v>
      </c>
      <c r="BN275">
        <v>380</v>
      </c>
      <c r="BO275" s="5">
        <f>BN275/BN277</f>
        <v>1</v>
      </c>
      <c r="BP275" s="5">
        <f>380/$BP$3</f>
        <v>1</v>
      </c>
      <c r="BR275">
        <v>370</v>
      </c>
      <c r="BS275" s="5">
        <f>BR275/BR277</f>
        <v>1</v>
      </c>
      <c r="BT275" s="5">
        <f>370/$BT$3</f>
        <v>1</v>
      </c>
      <c r="BV275">
        <v>250</v>
      </c>
      <c r="BW275" s="5">
        <f>BV275/BV277</f>
        <v>1</v>
      </c>
      <c r="BX275" s="5">
        <f>250/$BX$3</f>
        <v>1</v>
      </c>
      <c r="BZ275">
        <v>250</v>
      </c>
      <c r="CA275" s="5">
        <f>BZ275/BZ277</f>
        <v>1</v>
      </c>
      <c r="CB275" s="5">
        <f>250/$CB$3</f>
        <v>1</v>
      </c>
      <c r="CD275">
        <v>210</v>
      </c>
      <c r="CE275" s="5">
        <f>CD275/CD277</f>
        <v>1</v>
      </c>
      <c r="CF275" s="5">
        <f>210/$CF$3</f>
        <v>1</v>
      </c>
      <c r="CH275">
        <v>220</v>
      </c>
      <c r="CI275" s="5">
        <f>CH275/CH277</f>
        <v>1</v>
      </c>
      <c r="CJ275" s="5">
        <f>220/$CJ$3</f>
        <v>1</v>
      </c>
      <c r="CL275">
        <v>320</v>
      </c>
      <c r="CM275" s="5">
        <f>CL275/CL277</f>
        <v>1</v>
      </c>
      <c r="CN275" s="5">
        <f>320/$CN$3</f>
        <v>1</v>
      </c>
    </row>
    <row r="276" spans="1:93" x14ac:dyDescent="0.25">
      <c r="A276" s="1" t="s">
        <v>12</v>
      </c>
      <c r="B276">
        <v>0</v>
      </c>
      <c r="C276" s="5">
        <f>B276/B277</f>
        <v>0</v>
      </c>
      <c r="D276" s="5">
        <f>0/$D$3</f>
        <v>0</v>
      </c>
      <c r="F276">
        <v>0</v>
      </c>
      <c r="G276" s="5">
        <f>F276/F277</f>
        <v>0</v>
      </c>
      <c r="H276" s="5">
        <f>0/$H$3</f>
        <v>0</v>
      </c>
      <c r="J276">
        <v>0</v>
      </c>
      <c r="K276" s="5">
        <f>J276/J277</f>
        <v>0</v>
      </c>
      <c r="L276" s="5">
        <f>0/$L$3</f>
        <v>0</v>
      </c>
      <c r="N276">
        <v>0</v>
      </c>
      <c r="O276" s="5">
        <f>N276/N277</f>
        <v>0</v>
      </c>
      <c r="P276" s="5">
        <f>0/$P$3</f>
        <v>0</v>
      </c>
      <c r="R276">
        <v>0</v>
      </c>
      <c r="S276" s="5">
        <f>R276/R277</f>
        <v>0</v>
      </c>
      <c r="T276" s="5">
        <f>0/$T$3</f>
        <v>0</v>
      </c>
      <c r="V276">
        <v>0</v>
      </c>
      <c r="W276" s="5">
        <f>V276/V277</f>
        <v>0</v>
      </c>
      <c r="X276" s="5">
        <f>0/$X$3</f>
        <v>0</v>
      </c>
      <c r="Z276">
        <v>0</v>
      </c>
      <c r="AA276" s="5">
        <f>Z276/Z277</f>
        <v>0</v>
      </c>
      <c r="AB276" s="5">
        <f>0/$AB$3</f>
        <v>0</v>
      </c>
      <c r="AD276">
        <v>0</v>
      </c>
      <c r="AE276" s="5">
        <f>AD276/AD277</f>
        <v>0</v>
      </c>
      <c r="AF276" s="5">
        <f>0/$AF$3</f>
        <v>0</v>
      </c>
      <c r="AH276">
        <v>0</v>
      </c>
      <c r="AI276" s="5">
        <f>AH276/AH277</f>
        <v>0</v>
      </c>
      <c r="AJ276" s="5">
        <f>0/$AJ$3</f>
        <v>0</v>
      </c>
      <c r="AL276">
        <v>0</v>
      </c>
      <c r="AM276" s="5">
        <f>AL276/AL277</f>
        <v>0</v>
      </c>
      <c r="AN276" s="5">
        <f>0/$AN$3</f>
        <v>0</v>
      </c>
      <c r="AP276">
        <v>0</v>
      </c>
      <c r="AQ276" s="5">
        <f>AP276/AP277</f>
        <v>0</v>
      </c>
      <c r="AR276" s="5">
        <f>0/$AR$3</f>
        <v>0</v>
      </c>
      <c r="AT276">
        <v>0</v>
      </c>
      <c r="AU276" s="5">
        <f>AT276/AT277</f>
        <v>0</v>
      </c>
      <c r="AV276" s="5">
        <f>0/$AV$3</f>
        <v>0</v>
      </c>
      <c r="AX276">
        <v>0</v>
      </c>
      <c r="AY276" s="5">
        <f>AX276/AX277</f>
        <v>0</v>
      </c>
      <c r="AZ276" s="5">
        <f>0/$AZ$3</f>
        <v>0</v>
      </c>
      <c r="BB276">
        <v>0</v>
      </c>
      <c r="BC276" s="5">
        <f>BB276/BB277</f>
        <v>0</v>
      </c>
      <c r="BD276" s="5">
        <f>0/$BD$3</f>
        <v>0</v>
      </c>
      <c r="BF276">
        <v>0</v>
      </c>
      <c r="BG276" s="5">
        <f>BF276/BF277</f>
        <v>0</v>
      </c>
      <c r="BH276" s="5">
        <f>0/$BH$3</f>
        <v>0</v>
      </c>
      <c r="BJ276">
        <v>0</v>
      </c>
      <c r="BK276" s="5">
        <f>BJ276/BJ277</f>
        <v>0</v>
      </c>
      <c r="BL276" s="5">
        <f>0/$BL$3</f>
        <v>0</v>
      </c>
      <c r="BN276">
        <v>0</v>
      </c>
      <c r="BO276" s="5">
        <f>BN276/BN277</f>
        <v>0</v>
      </c>
      <c r="BP276" s="5">
        <f>0/$BP$3</f>
        <v>0</v>
      </c>
      <c r="BR276">
        <v>0</v>
      </c>
      <c r="BS276" s="5">
        <f>BR276/BR277</f>
        <v>0</v>
      </c>
      <c r="BT276" s="5">
        <f>0/$BT$3</f>
        <v>0</v>
      </c>
      <c r="BV276">
        <v>0</v>
      </c>
      <c r="BW276" s="5">
        <f>BV276/BV277</f>
        <v>0</v>
      </c>
      <c r="BX276" s="5">
        <f>0/$BX$3</f>
        <v>0</v>
      </c>
      <c r="BZ276">
        <v>0</v>
      </c>
      <c r="CA276" s="5">
        <f>BZ276/BZ277</f>
        <v>0</v>
      </c>
      <c r="CB276" s="5">
        <f>0/$CB$3</f>
        <v>0</v>
      </c>
      <c r="CD276">
        <v>0</v>
      </c>
      <c r="CE276" s="5">
        <f>CD276/CD277</f>
        <v>0</v>
      </c>
      <c r="CF276" s="5">
        <f>0/$CF$3</f>
        <v>0</v>
      </c>
      <c r="CH276">
        <v>0</v>
      </c>
      <c r="CI276" s="5">
        <f>CH276/CH277</f>
        <v>0</v>
      </c>
      <c r="CJ276" s="5">
        <f>0/$CJ$3</f>
        <v>0</v>
      </c>
      <c r="CL276">
        <v>0</v>
      </c>
      <c r="CM276" s="5">
        <f>CL276/CL277</f>
        <v>0</v>
      </c>
      <c r="CN276" s="5">
        <f>0/$CN$3</f>
        <v>0</v>
      </c>
    </row>
    <row r="277" spans="1:93" s="6" customFormat="1" x14ac:dyDescent="0.25">
      <c r="A277" s="7" t="s">
        <v>13</v>
      </c>
      <c r="B277" s="6">
        <v>1000</v>
      </c>
      <c r="F277" s="6">
        <v>472</v>
      </c>
      <c r="J277" s="6">
        <v>285</v>
      </c>
      <c r="N277" s="6">
        <v>232</v>
      </c>
      <c r="R277" s="6">
        <v>294</v>
      </c>
      <c r="V277" s="6">
        <v>416</v>
      </c>
      <c r="Z277" s="6">
        <v>420</v>
      </c>
      <c r="AD277" s="6">
        <v>500</v>
      </c>
      <c r="AH277" s="6">
        <v>500</v>
      </c>
      <c r="AL277" s="6">
        <v>169</v>
      </c>
      <c r="AP277" s="6">
        <v>311</v>
      </c>
      <c r="AT277" s="6">
        <v>390</v>
      </c>
      <c r="AX277" s="6">
        <v>130</v>
      </c>
      <c r="BB277" s="6">
        <v>406</v>
      </c>
      <c r="BF277" s="6">
        <v>372</v>
      </c>
      <c r="BJ277" s="6">
        <v>222</v>
      </c>
      <c r="BN277" s="6">
        <v>380</v>
      </c>
      <c r="BR277" s="6">
        <v>370</v>
      </c>
      <c r="BV277" s="6">
        <v>250</v>
      </c>
      <c r="BZ277" s="6">
        <v>250</v>
      </c>
      <c r="CD277" s="6">
        <v>210</v>
      </c>
      <c r="CH277" s="6">
        <v>220</v>
      </c>
      <c r="CL277" s="6">
        <v>320</v>
      </c>
    </row>
    <row r="278" spans="1:93" hidden="1" x14ac:dyDescent="0.25">
      <c r="A278" s="8" t="s">
        <v>14</v>
      </c>
      <c r="B278">
        <v>0</v>
      </c>
      <c r="F278">
        <v>0</v>
      </c>
      <c r="J278">
        <v>0</v>
      </c>
      <c r="N278">
        <v>0</v>
      </c>
      <c r="R278">
        <v>0</v>
      </c>
      <c r="V278">
        <v>0</v>
      </c>
      <c r="Z278">
        <v>0</v>
      </c>
      <c r="AD278">
        <v>0</v>
      </c>
      <c r="AH278">
        <v>0</v>
      </c>
      <c r="AL278">
        <v>0</v>
      </c>
      <c r="AP278">
        <v>0</v>
      </c>
      <c r="AT278">
        <v>0</v>
      </c>
      <c r="AX278">
        <v>0</v>
      </c>
      <c r="BB278">
        <v>0</v>
      </c>
      <c r="BF278">
        <v>0</v>
      </c>
      <c r="BJ278">
        <v>0</v>
      </c>
      <c r="BN278">
        <v>0</v>
      </c>
      <c r="BR278">
        <v>0</v>
      </c>
      <c r="BV278">
        <v>0</v>
      </c>
      <c r="BZ278">
        <v>0</v>
      </c>
      <c r="CD278">
        <v>0</v>
      </c>
      <c r="CH278">
        <v>0</v>
      </c>
      <c r="CL278">
        <v>0</v>
      </c>
    </row>
    <row r="279" spans="1:93" hidden="1" x14ac:dyDescent="0.25">
      <c r="A279" s="8" t="s">
        <v>15</v>
      </c>
      <c r="B279">
        <v>0</v>
      </c>
      <c r="F279">
        <v>0</v>
      </c>
      <c r="J279">
        <v>0</v>
      </c>
      <c r="N279">
        <v>0</v>
      </c>
      <c r="R279">
        <v>0</v>
      </c>
      <c r="V279">
        <v>0</v>
      </c>
      <c r="Z279">
        <v>0</v>
      </c>
      <c r="AD279">
        <v>0</v>
      </c>
      <c r="AH279">
        <v>0</v>
      </c>
      <c r="AL279">
        <v>0</v>
      </c>
      <c r="AP279">
        <v>0</v>
      </c>
      <c r="AT279">
        <v>0</v>
      </c>
      <c r="AX279">
        <v>0</v>
      </c>
      <c r="BB279">
        <v>0</v>
      </c>
      <c r="BF279">
        <v>0</v>
      </c>
      <c r="BJ279">
        <v>0</v>
      </c>
      <c r="BN279">
        <v>0</v>
      </c>
      <c r="BR279">
        <v>0</v>
      </c>
      <c r="BV279">
        <v>0</v>
      </c>
      <c r="BZ279">
        <v>0</v>
      </c>
      <c r="CD279">
        <v>0</v>
      </c>
      <c r="CH279">
        <v>0</v>
      </c>
      <c r="CL279">
        <v>0</v>
      </c>
    </row>
    <row r="281" spans="1:93" x14ac:dyDescent="0.25">
      <c r="AN281" s="2" t="s">
        <v>5</v>
      </c>
      <c r="AR281" s="2" t="s">
        <v>6</v>
      </c>
      <c r="AV281" s="2" t="s">
        <v>7</v>
      </c>
      <c r="AZ281" s="2" t="s">
        <v>8</v>
      </c>
      <c r="BD281" s="2" t="s">
        <v>5</v>
      </c>
      <c r="BH281" s="2" t="s">
        <v>6</v>
      </c>
      <c r="BL281" s="2" t="s">
        <v>7</v>
      </c>
      <c r="BP281" s="2" t="s">
        <v>5</v>
      </c>
      <c r="BT281" s="2" t="s">
        <v>6</v>
      </c>
      <c r="BX281" s="2" t="s">
        <v>7</v>
      </c>
      <c r="CB281" s="2" t="s">
        <v>5</v>
      </c>
      <c r="CF281" s="2" t="s">
        <v>6</v>
      </c>
      <c r="CJ281" s="2" t="s">
        <v>7</v>
      </c>
      <c r="CN281" s="2" t="s">
        <v>8</v>
      </c>
    </row>
    <row r="282" spans="1:93" s="3" customFormat="1" x14ac:dyDescent="0.25">
      <c r="A282" s="3" t="s">
        <v>2152</v>
      </c>
      <c r="D282" s="4" t="s">
        <v>10</v>
      </c>
      <c r="H282" s="4" t="s">
        <v>10</v>
      </c>
      <c r="L282" s="4" t="s">
        <v>10</v>
      </c>
      <c r="P282" s="4" t="s">
        <v>10</v>
      </c>
      <c r="T282" s="4" t="s">
        <v>10</v>
      </c>
      <c r="X282" s="4" t="s">
        <v>10</v>
      </c>
      <c r="AB282" s="4" t="s">
        <v>10</v>
      </c>
      <c r="AF282" s="4" t="s">
        <v>10</v>
      </c>
      <c r="AJ282" s="4" t="s">
        <v>10</v>
      </c>
      <c r="AN282" s="4" t="s">
        <v>10</v>
      </c>
      <c r="AR282" s="4" t="s">
        <v>10</v>
      </c>
      <c r="AV282" s="4" t="s">
        <v>10</v>
      </c>
      <c r="AZ282" s="4" t="s">
        <v>10</v>
      </c>
      <c r="BD282" s="4" t="s">
        <v>10</v>
      </c>
      <c r="BH282" s="4" t="s">
        <v>10</v>
      </c>
      <c r="BL282" s="4" t="s">
        <v>10</v>
      </c>
      <c r="BP282" s="4" t="s">
        <v>10</v>
      </c>
      <c r="BT282" s="4" t="s">
        <v>10</v>
      </c>
      <c r="BX282" s="4" t="s">
        <v>10</v>
      </c>
      <c r="CB282" s="4" t="s">
        <v>10</v>
      </c>
      <c r="CF282" s="4" t="s">
        <v>10</v>
      </c>
      <c r="CJ282" s="4" t="s">
        <v>10</v>
      </c>
      <c r="CN282" s="4" t="s">
        <v>10</v>
      </c>
    </row>
    <row r="283" spans="1:93" x14ac:dyDescent="0.25">
      <c r="A283" s="1" t="s">
        <v>2153</v>
      </c>
      <c r="B283">
        <v>472</v>
      </c>
      <c r="C283" s="5">
        <f>B283/B288</f>
        <v>0.47199999999999998</v>
      </c>
      <c r="D283" s="5">
        <f>472/$D$3</f>
        <v>0.47199999999999998</v>
      </c>
      <c r="F283">
        <v>472</v>
      </c>
      <c r="G283" s="5">
        <f>F283/F288</f>
        <v>1</v>
      </c>
      <c r="H283" s="5">
        <f>472/$H$3</f>
        <v>1</v>
      </c>
      <c r="J283">
        <v>186</v>
      </c>
      <c r="K283" s="5">
        <f>J283/J288</f>
        <v>0.65263157894736845</v>
      </c>
      <c r="L283" s="10">
        <f>186/$L$3</f>
        <v>0.65263157894736845</v>
      </c>
      <c r="N283">
        <v>232</v>
      </c>
      <c r="O283" s="5">
        <f>N283/N288</f>
        <v>1</v>
      </c>
      <c r="P283" s="10">
        <f>232/$P$3</f>
        <v>1</v>
      </c>
      <c r="R283">
        <v>294</v>
      </c>
      <c r="S283" s="5">
        <f>R283/R288</f>
        <v>1</v>
      </c>
      <c r="T283" s="10">
        <f>294/$T$3</f>
        <v>1</v>
      </c>
      <c r="V283">
        <v>416</v>
      </c>
      <c r="W283" s="5">
        <f>V283/V288</f>
        <v>1</v>
      </c>
      <c r="X283" s="10">
        <f>416/$X$3</f>
        <v>1</v>
      </c>
      <c r="Z283">
        <v>420</v>
      </c>
      <c r="AA283" s="5">
        <f>Z283/Z288</f>
        <v>1</v>
      </c>
      <c r="AB283" s="10">
        <f>420/$AB$3</f>
        <v>1</v>
      </c>
      <c r="AD283">
        <v>231</v>
      </c>
      <c r="AE283" s="5">
        <f>AD283/AD288</f>
        <v>0.46200000000000002</v>
      </c>
      <c r="AF283" s="5">
        <f>231/$AF$3</f>
        <v>0.46200000000000002</v>
      </c>
      <c r="AH283">
        <v>241</v>
      </c>
      <c r="AI283" s="5">
        <f>AH283/AH288</f>
        <v>0.48199999999999998</v>
      </c>
      <c r="AJ283" s="5">
        <f>241/$AJ$3</f>
        <v>0.48199999999999998</v>
      </c>
      <c r="AL283">
        <v>93</v>
      </c>
      <c r="AM283" s="5">
        <f>AL283/AL288</f>
        <v>0.55029585798816572</v>
      </c>
      <c r="AN283" s="10">
        <f>93/$AN$3</f>
        <v>0.55029585798816572</v>
      </c>
      <c r="AO283" s="12"/>
      <c r="AP283">
        <v>173</v>
      </c>
      <c r="AQ283" s="5">
        <f>AP283/AP288</f>
        <v>0.5562700964630225</v>
      </c>
      <c r="AR283" s="10">
        <f>173/$AR$3</f>
        <v>0.5562700964630225</v>
      </c>
      <c r="AS283" s="12"/>
      <c r="AT283">
        <v>168</v>
      </c>
      <c r="AU283" s="5">
        <f>AT283/AT288</f>
        <v>0.43076923076923079</v>
      </c>
      <c r="AV283" s="5">
        <f>168/$AV$3</f>
        <v>0.43076923076923079</v>
      </c>
      <c r="AW283" s="12"/>
      <c r="AX283">
        <v>38</v>
      </c>
      <c r="AY283" s="5">
        <f>AX283/AX288</f>
        <v>0.29230769230769232</v>
      </c>
      <c r="AZ283" s="11">
        <f>38/$AZ$3</f>
        <v>0.29230769230769232</v>
      </c>
      <c r="BB283">
        <v>157</v>
      </c>
      <c r="BC283" s="5">
        <f>BB283/BB288</f>
        <v>0.38669950738916259</v>
      </c>
      <c r="BD283" s="11">
        <f>157/$BD$3</f>
        <v>0.38669950738916259</v>
      </c>
      <c r="BF283">
        <v>183</v>
      </c>
      <c r="BG283" s="5">
        <f>BF283/BF288</f>
        <v>0.49193548387096775</v>
      </c>
      <c r="BH283" s="5">
        <f>183/$BH$3</f>
        <v>0.49193548387096775</v>
      </c>
      <c r="BI283" s="12"/>
      <c r="BJ283">
        <v>132</v>
      </c>
      <c r="BK283" s="5">
        <f>BJ283/BJ288</f>
        <v>0.59459459459459463</v>
      </c>
      <c r="BL283" s="10">
        <f>132/$BL$3</f>
        <v>0.59459459459459463</v>
      </c>
      <c r="BM283" s="12"/>
      <c r="BN283">
        <v>143</v>
      </c>
      <c r="BO283" s="5">
        <f>BN283/BN288</f>
        <v>0.37631578947368421</v>
      </c>
      <c r="BP283" s="11">
        <f>143/$BP$3</f>
        <v>0.37631578947368421</v>
      </c>
      <c r="BR283">
        <v>177</v>
      </c>
      <c r="BS283" s="5">
        <f>BR283/BR288</f>
        <v>0.47837837837837838</v>
      </c>
      <c r="BT283" s="5">
        <f>177/$BT$3</f>
        <v>0.47837837837837838</v>
      </c>
      <c r="BU283" s="12"/>
      <c r="BV283">
        <v>152</v>
      </c>
      <c r="BW283" s="5">
        <f>BV283/BV288</f>
        <v>0.60799999999999998</v>
      </c>
      <c r="BX283" s="10">
        <f>152/$BX$3</f>
        <v>0.60799999999999998</v>
      </c>
      <c r="BY283" s="12"/>
      <c r="BZ283">
        <v>113</v>
      </c>
      <c r="CA283" s="5">
        <f>BZ283/BZ288</f>
        <v>0.45200000000000001</v>
      </c>
      <c r="CB283" s="5">
        <f>113/$CB$3</f>
        <v>0.45200000000000001</v>
      </c>
      <c r="CD283">
        <v>94</v>
      </c>
      <c r="CE283" s="5">
        <f>CD283/CD288</f>
        <v>0.44761904761904764</v>
      </c>
      <c r="CF283" s="5">
        <f>94/$CF$3</f>
        <v>0.44761904761904764</v>
      </c>
      <c r="CH283">
        <v>105</v>
      </c>
      <c r="CI283" s="5">
        <f>CH283/CH288</f>
        <v>0.47727272727272729</v>
      </c>
      <c r="CJ283" s="5">
        <f>105/$CJ$3</f>
        <v>0.47727272727272729</v>
      </c>
      <c r="CL283">
        <v>160</v>
      </c>
      <c r="CM283" s="5">
        <f>CL283/CL288</f>
        <v>0.5</v>
      </c>
      <c r="CN283" s="5">
        <f>160/$CN$3</f>
        <v>0.5</v>
      </c>
    </row>
    <row r="284" spans="1:93" x14ac:dyDescent="0.25">
      <c r="A284" s="1" t="s">
        <v>2154</v>
      </c>
      <c r="B284">
        <v>121</v>
      </c>
      <c r="C284" s="5">
        <f>B284/B288</f>
        <v>0.121</v>
      </c>
      <c r="D284" s="5">
        <f>121/$D$3</f>
        <v>0.121</v>
      </c>
      <c r="F284">
        <v>71</v>
      </c>
      <c r="G284" s="5">
        <f>F284/F288</f>
        <v>0.15042372881355931</v>
      </c>
      <c r="H284" s="5">
        <f>71/$H$3</f>
        <v>0.15042372881355931</v>
      </c>
      <c r="J284">
        <v>44</v>
      </c>
      <c r="K284" s="5">
        <f>J284/J288</f>
        <v>0.15438596491228071</v>
      </c>
      <c r="L284" s="5">
        <f>44/$L$3</f>
        <v>0.15438596491228071</v>
      </c>
      <c r="N284">
        <v>39</v>
      </c>
      <c r="O284" s="5">
        <f>N284/N288</f>
        <v>0.16810344827586207</v>
      </c>
      <c r="P284" s="5">
        <f>39/$P$3</f>
        <v>0.16810344827586207</v>
      </c>
      <c r="R284">
        <v>47</v>
      </c>
      <c r="S284" s="5">
        <f>R284/R288</f>
        <v>0.1598639455782313</v>
      </c>
      <c r="T284" s="5">
        <f>47/$T$3</f>
        <v>0.1598639455782313</v>
      </c>
      <c r="V284">
        <v>63</v>
      </c>
      <c r="W284" s="5">
        <f>V284/V288</f>
        <v>0.15144230769230768</v>
      </c>
      <c r="X284" s="5">
        <f>63/$X$3</f>
        <v>0.15144230769230768</v>
      </c>
      <c r="Z284">
        <v>59</v>
      </c>
      <c r="AA284" s="5">
        <f>Z284/Z288</f>
        <v>0.14047619047619048</v>
      </c>
      <c r="AB284" s="5">
        <f>59/$AB$3</f>
        <v>0.14047619047619048</v>
      </c>
      <c r="AD284">
        <v>67</v>
      </c>
      <c r="AE284" s="5">
        <f>AD284/AD288</f>
        <v>0.13400000000000001</v>
      </c>
      <c r="AF284" s="5">
        <f>67/$AF$3</f>
        <v>0.13400000000000001</v>
      </c>
      <c r="AH284">
        <v>54</v>
      </c>
      <c r="AI284" s="5">
        <f>AH284/AH288</f>
        <v>0.108</v>
      </c>
      <c r="AJ284" s="5">
        <f>54/$AJ$3</f>
        <v>0.108</v>
      </c>
      <c r="AL284">
        <v>20</v>
      </c>
      <c r="AM284" s="5">
        <f>AL284/AL288</f>
        <v>0.11834319526627218</v>
      </c>
      <c r="AN284" s="5">
        <f>20/$AN$3</f>
        <v>0.11834319526627218</v>
      </c>
      <c r="AP284">
        <v>51</v>
      </c>
      <c r="AQ284" s="5">
        <f>AP284/AP288</f>
        <v>0.16398713826366559</v>
      </c>
      <c r="AR284" s="5">
        <f>51/$AR$3</f>
        <v>0.16398713826366559</v>
      </c>
      <c r="AS284" s="12"/>
      <c r="AT284">
        <v>44</v>
      </c>
      <c r="AU284" s="5">
        <f>AT284/AT288</f>
        <v>0.11282051282051282</v>
      </c>
      <c r="AV284" s="5">
        <f>44/$AV$3</f>
        <v>0.11282051282051282</v>
      </c>
      <c r="AX284">
        <v>6</v>
      </c>
      <c r="AY284" s="5">
        <f>AX284/AX288</f>
        <v>4.6153846153846156E-2</v>
      </c>
      <c r="AZ284" s="11">
        <f>6/$AZ$3</f>
        <v>4.6153846153846156E-2</v>
      </c>
      <c r="BB284">
        <v>52</v>
      </c>
      <c r="BC284" s="5">
        <f>BB284/BB288</f>
        <v>0.12807881773399016</v>
      </c>
      <c r="BD284" s="5">
        <f>52/$BD$3</f>
        <v>0.12807881773399016</v>
      </c>
      <c r="BF284">
        <v>44</v>
      </c>
      <c r="BG284" s="5">
        <f>BF284/BF288</f>
        <v>0.11827956989247312</v>
      </c>
      <c r="BH284" s="5">
        <f>44/$BH$3</f>
        <v>0.11827956989247312</v>
      </c>
      <c r="BJ284">
        <v>25</v>
      </c>
      <c r="BK284" s="5">
        <f>BJ284/BJ288</f>
        <v>0.11261261261261261</v>
      </c>
      <c r="BL284" s="5">
        <f>25/$BL$3</f>
        <v>0.11261261261261261</v>
      </c>
      <c r="BN284">
        <v>59</v>
      </c>
      <c r="BO284" s="5">
        <f>BN284/BN288</f>
        <v>0.15526315789473685</v>
      </c>
      <c r="BP284" s="5">
        <f>59/$BP$3</f>
        <v>0.15526315789473685</v>
      </c>
      <c r="BR284">
        <v>37</v>
      </c>
      <c r="BS284" s="5">
        <f>BR284/BR288</f>
        <v>0.1</v>
      </c>
      <c r="BT284" s="5">
        <f>37/$BT$3</f>
        <v>0.1</v>
      </c>
      <c r="BV284">
        <v>25</v>
      </c>
      <c r="BW284" s="5">
        <f>BV284/BV288</f>
        <v>0.1</v>
      </c>
      <c r="BX284" s="5">
        <f>25/$BX$3</f>
        <v>0.1</v>
      </c>
      <c r="BZ284">
        <v>35</v>
      </c>
      <c r="CA284" s="5">
        <f>BZ284/BZ288</f>
        <v>0.14000000000000001</v>
      </c>
      <c r="CB284" s="5">
        <f>35/$CB$3</f>
        <v>0.14000000000000001</v>
      </c>
      <c r="CC284" s="12"/>
      <c r="CD284">
        <v>32</v>
      </c>
      <c r="CE284" s="5">
        <f>CD284/CD288</f>
        <v>0.15238095238095239</v>
      </c>
      <c r="CF284" s="5">
        <f>32/$CF$3</f>
        <v>0.15238095238095239</v>
      </c>
      <c r="CG284" s="12"/>
      <c r="CH284">
        <v>33</v>
      </c>
      <c r="CI284" s="5">
        <f>CH284/CH288</f>
        <v>0.15</v>
      </c>
      <c r="CJ284" s="5">
        <f>33/$CJ$3</f>
        <v>0.15</v>
      </c>
      <c r="CK284" s="12"/>
      <c r="CL284">
        <v>21</v>
      </c>
      <c r="CM284" s="5">
        <f>CL284/CL288</f>
        <v>6.5625000000000003E-2</v>
      </c>
      <c r="CN284" s="11">
        <f>21/$CN$3</f>
        <v>6.5625000000000003E-2</v>
      </c>
    </row>
    <row r="285" spans="1:93" x14ac:dyDescent="0.25">
      <c r="A285" s="1" t="s">
        <v>2155</v>
      </c>
      <c r="B285">
        <v>397</v>
      </c>
      <c r="C285" s="5">
        <f>B285/B288</f>
        <v>0.39700000000000002</v>
      </c>
      <c r="D285" s="5">
        <f>397/$D$3</f>
        <v>0.39700000000000002</v>
      </c>
      <c r="F285">
        <v>257</v>
      </c>
      <c r="G285" s="5">
        <f>F285/F288</f>
        <v>0.54449152542372881</v>
      </c>
      <c r="H285" s="10">
        <f>257/$H$3</f>
        <v>0.54449152542372881</v>
      </c>
      <c r="J285">
        <v>143</v>
      </c>
      <c r="K285" s="5">
        <f>J285/J288</f>
        <v>0.50175438596491229</v>
      </c>
      <c r="L285" s="10">
        <f>143/$L$3</f>
        <v>0.50175438596491229</v>
      </c>
      <c r="N285">
        <v>114</v>
      </c>
      <c r="O285" s="5">
        <f>N285/N288</f>
        <v>0.49137931034482757</v>
      </c>
      <c r="P285" s="10">
        <f>114/$P$3</f>
        <v>0.49137931034482757</v>
      </c>
      <c r="R285">
        <v>164</v>
      </c>
      <c r="S285" s="5">
        <f>R285/R288</f>
        <v>0.55782312925170063</v>
      </c>
      <c r="T285" s="10">
        <f>164/$T$3</f>
        <v>0.55782312925170063</v>
      </c>
      <c r="V285">
        <v>230</v>
      </c>
      <c r="W285" s="5">
        <f>V285/V288</f>
        <v>0.55288461538461542</v>
      </c>
      <c r="X285" s="10">
        <f>230/$X$3</f>
        <v>0.55288461538461542</v>
      </c>
      <c r="Z285">
        <v>234</v>
      </c>
      <c r="AA285" s="5">
        <f>Z285/Z288</f>
        <v>0.55714285714285716</v>
      </c>
      <c r="AB285" s="10">
        <f>234/$AB$3</f>
        <v>0.55714285714285716</v>
      </c>
      <c r="AD285">
        <v>179</v>
      </c>
      <c r="AE285" s="5">
        <f>AD285/AD288</f>
        <v>0.35799999999999998</v>
      </c>
      <c r="AF285" s="5">
        <f>179/$AF$3</f>
        <v>0.35799999999999998</v>
      </c>
      <c r="AH285">
        <v>218</v>
      </c>
      <c r="AI285" s="5">
        <f>AH285/AH288</f>
        <v>0.436</v>
      </c>
      <c r="AJ285" s="5">
        <f>218/$AJ$3</f>
        <v>0.436</v>
      </c>
      <c r="AL285">
        <v>104</v>
      </c>
      <c r="AM285" s="5">
        <f>AL285/AL288</f>
        <v>0.61538461538461542</v>
      </c>
      <c r="AN285" s="10">
        <f>104/$AN$3</f>
        <v>0.61538461538461542</v>
      </c>
      <c r="AO285" s="12"/>
      <c r="AP285">
        <v>156</v>
      </c>
      <c r="AQ285" s="5">
        <f>AP285/AP288</f>
        <v>0.50160771704180063</v>
      </c>
      <c r="AR285" s="10">
        <f>156/$AR$3</f>
        <v>0.50160771704180063</v>
      </c>
      <c r="AS285" s="12"/>
      <c r="AT285">
        <v>118</v>
      </c>
      <c r="AU285" s="5">
        <f>AT285/AT288</f>
        <v>0.30256410256410254</v>
      </c>
      <c r="AV285" s="11">
        <f>118/$AV$3</f>
        <v>0.30256410256410254</v>
      </c>
      <c r="AW285" s="12"/>
      <c r="AX285">
        <v>19</v>
      </c>
      <c r="AY285" s="5">
        <f>AX285/AX288</f>
        <v>0.14615384615384616</v>
      </c>
      <c r="AZ285" s="11">
        <f>19/$AZ$3</f>
        <v>0.14615384615384616</v>
      </c>
      <c r="BB285">
        <v>157</v>
      </c>
      <c r="BC285" s="5">
        <f>BB285/BB288</f>
        <v>0.38669950738916259</v>
      </c>
      <c r="BD285" s="5">
        <f>157/$BD$3</f>
        <v>0.38669950738916259</v>
      </c>
      <c r="BF285">
        <v>153</v>
      </c>
      <c r="BG285" s="5">
        <f>BF285/BF288</f>
        <v>0.41129032258064518</v>
      </c>
      <c r="BH285" s="5">
        <f>153/$BH$3</f>
        <v>0.41129032258064518</v>
      </c>
      <c r="BJ285">
        <v>87</v>
      </c>
      <c r="BK285" s="5">
        <f>BJ285/BJ288</f>
        <v>0.39189189189189189</v>
      </c>
      <c r="BL285" s="5">
        <f>87/$BL$3</f>
        <v>0.39189189189189189</v>
      </c>
      <c r="BN285">
        <v>138</v>
      </c>
      <c r="BO285" s="5">
        <f>BN285/BN288</f>
        <v>0.36315789473684212</v>
      </c>
      <c r="BP285" s="5">
        <f>138/$BP$3</f>
        <v>0.36315789473684212</v>
      </c>
      <c r="BR285">
        <v>155</v>
      </c>
      <c r="BS285" s="5">
        <f>BR285/BR288</f>
        <v>0.41891891891891891</v>
      </c>
      <c r="BT285" s="5">
        <f>155/$BT$3</f>
        <v>0.41891891891891891</v>
      </c>
      <c r="BV285">
        <v>104</v>
      </c>
      <c r="BW285" s="5">
        <f>BV285/BV288</f>
        <v>0.41599999999999998</v>
      </c>
      <c r="BX285" s="5">
        <f>104/$BX$3</f>
        <v>0.41599999999999998</v>
      </c>
      <c r="BZ285">
        <v>90</v>
      </c>
      <c r="CA285" s="5">
        <f>BZ285/BZ288</f>
        <v>0.36</v>
      </c>
      <c r="CB285" s="5">
        <f>90/$CB$3</f>
        <v>0.36</v>
      </c>
      <c r="CD285">
        <v>72</v>
      </c>
      <c r="CE285" s="5">
        <f>CD285/CD288</f>
        <v>0.34285714285714286</v>
      </c>
      <c r="CF285" s="5">
        <f>72/$CF$3</f>
        <v>0.34285714285714286</v>
      </c>
      <c r="CH285">
        <v>93</v>
      </c>
      <c r="CI285" s="5">
        <f>CH285/CH288</f>
        <v>0.42272727272727273</v>
      </c>
      <c r="CJ285" s="5">
        <f>93/$CJ$3</f>
        <v>0.42272727272727273</v>
      </c>
      <c r="CL285">
        <v>142</v>
      </c>
      <c r="CM285" s="5">
        <f>CL285/CL288</f>
        <v>0.44374999999999998</v>
      </c>
      <c r="CN285" s="5">
        <f>142/$CN$3</f>
        <v>0.44374999999999998</v>
      </c>
    </row>
    <row r="286" spans="1:93" x14ac:dyDescent="0.25">
      <c r="A286" s="1" t="s">
        <v>2156</v>
      </c>
      <c r="B286">
        <v>879</v>
      </c>
      <c r="C286" s="5">
        <f>B286/B288</f>
        <v>0.879</v>
      </c>
      <c r="D286" s="5">
        <f>879/$D$3</f>
        <v>0.879</v>
      </c>
      <c r="F286">
        <v>401</v>
      </c>
      <c r="G286" s="5">
        <f>F286/F288</f>
        <v>0.84957627118644063</v>
      </c>
      <c r="H286" s="5">
        <f>401/$H$3</f>
        <v>0.84957627118644063</v>
      </c>
      <c r="J286">
        <v>241</v>
      </c>
      <c r="K286" s="5">
        <f>J286/J288</f>
        <v>0.84561403508771926</v>
      </c>
      <c r="L286" s="5">
        <f>241/$L$3</f>
        <v>0.84561403508771926</v>
      </c>
      <c r="N286">
        <v>193</v>
      </c>
      <c r="O286" s="5">
        <f>N286/N288</f>
        <v>0.8318965517241379</v>
      </c>
      <c r="P286" s="5">
        <f>193/$P$3</f>
        <v>0.8318965517241379</v>
      </c>
      <c r="R286">
        <v>247</v>
      </c>
      <c r="S286" s="5">
        <f>R286/R288</f>
        <v>0.84013605442176875</v>
      </c>
      <c r="T286" s="5">
        <f>247/$T$3</f>
        <v>0.84013605442176875</v>
      </c>
      <c r="V286">
        <v>353</v>
      </c>
      <c r="W286" s="5">
        <f>V286/V288</f>
        <v>0.84855769230769229</v>
      </c>
      <c r="X286" s="5">
        <f>353/$X$3</f>
        <v>0.84855769230769229</v>
      </c>
      <c r="Z286">
        <v>361</v>
      </c>
      <c r="AA286" s="5">
        <f>Z286/Z288</f>
        <v>0.85952380952380958</v>
      </c>
      <c r="AB286" s="5">
        <f>361/$AB$3</f>
        <v>0.85952380952380958</v>
      </c>
      <c r="AD286">
        <v>433</v>
      </c>
      <c r="AE286" s="5">
        <f>AD286/AD288</f>
        <v>0.86599999999999999</v>
      </c>
      <c r="AF286" s="5">
        <f>433/$AF$3</f>
        <v>0.86599999999999999</v>
      </c>
      <c r="AH286">
        <v>446</v>
      </c>
      <c r="AI286" s="5">
        <f>AH286/AH288</f>
        <v>0.89200000000000002</v>
      </c>
      <c r="AJ286" s="5">
        <f>446/$AJ$3</f>
        <v>0.89200000000000002</v>
      </c>
      <c r="AL286">
        <v>149</v>
      </c>
      <c r="AM286" s="5">
        <f>AL286/AL288</f>
        <v>0.88165680473372776</v>
      </c>
      <c r="AN286" s="5">
        <f>149/$AN$3</f>
        <v>0.88165680473372776</v>
      </c>
      <c r="AP286">
        <v>260</v>
      </c>
      <c r="AQ286" s="5">
        <f>AP286/AP288</f>
        <v>0.83601286173633438</v>
      </c>
      <c r="AR286" s="5">
        <f>260/$AR$3</f>
        <v>0.83601286173633438</v>
      </c>
      <c r="AT286">
        <v>346</v>
      </c>
      <c r="AU286" s="5">
        <f>AT286/AT288</f>
        <v>0.88717948717948714</v>
      </c>
      <c r="AV286" s="5">
        <f>346/$AV$3</f>
        <v>0.88717948717948714</v>
      </c>
      <c r="AX286">
        <v>124</v>
      </c>
      <c r="AY286" s="5">
        <f>AX286/AX288</f>
        <v>0.9538461538461539</v>
      </c>
      <c r="AZ286" s="10">
        <f>124/$AZ$3</f>
        <v>0.9538461538461539</v>
      </c>
      <c r="BA286" s="12"/>
      <c r="BB286">
        <v>354</v>
      </c>
      <c r="BC286" s="5">
        <f>BB286/BB288</f>
        <v>0.8719211822660099</v>
      </c>
      <c r="BD286" s="5">
        <f>354/$BD$3</f>
        <v>0.8719211822660099</v>
      </c>
      <c r="BF286">
        <v>328</v>
      </c>
      <c r="BG286" s="5">
        <f>BF286/BF288</f>
        <v>0.88172043010752688</v>
      </c>
      <c r="BH286" s="5">
        <f>328/$BH$3</f>
        <v>0.88172043010752688</v>
      </c>
      <c r="BJ286">
        <v>197</v>
      </c>
      <c r="BK286" s="5">
        <f>BJ286/BJ288</f>
        <v>0.88738738738738743</v>
      </c>
      <c r="BL286" s="5">
        <f>197/$BL$3</f>
        <v>0.88738738738738743</v>
      </c>
      <c r="BN286">
        <v>321</v>
      </c>
      <c r="BO286" s="5">
        <f>BN286/BN288</f>
        <v>0.84473684210526312</v>
      </c>
      <c r="BP286" s="5">
        <f>321/$BP$3</f>
        <v>0.84473684210526312</v>
      </c>
      <c r="BR286">
        <v>333</v>
      </c>
      <c r="BS286" s="5">
        <f>BR286/BR288</f>
        <v>0.9</v>
      </c>
      <c r="BT286" s="5">
        <f>333/$BT$3</f>
        <v>0.9</v>
      </c>
      <c r="BV286">
        <v>225</v>
      </c>
      <c r="BW286" s="5">
        <f>BV286/BV288</f>
        <v>0.9</v>
      </c>
      <c r="BX286" s="5">
        <f>225/$BX$3</f>
        <v>0.9</v>
      </c>
      <c r="BZ286">
        <v>215</v>
      </c>
      <c r="CA286" s="5">
        <f>BZ286/BZ288</f>
        <v>0.86</v>
      </c>
      <c r="CB286" s="5">
        <f>215/$CB$3</f>
        <v>0.86</v>
      </c>
      <c r="CD286">
        <v>178</v>
      </c>
      <c r="CE286" s="5">
        <f>CD286/CD288</f>
        <v>0.84761904761904761</v>
      </c>
      <c r="CF286" s="5">
        <f>178/$CF$3</f>
        <v>0.84761904761904761</v>
      </c>
      <c r="CH286">
        <v>187</v>
      </c>
      <c r="CI286" s="5">
        <f>CH286/CH288</f>
        <v>0.85</v>
      </c>
      <c r="CJ286" s="5">
        <f>187/$CJ$3</f>
        <v>0.85</v>
      </c>
      <c r="CL286">
        <v>299</v>
      </c>
      <c r="CM286" s="5">
        <f>CL286/CL288</f>
        <v>0.93437499999999996</v>
      </c>
      <c r="CN286" s="10">
        <f>299/$CN$3</f>
        <v>0.93437499999999996</v>
      </c>
      <c r="CO286" s="12"/>
    </row>
    <row r="287" spans="1:93" x14ac:dyDescent="0.25">
      <c r="A287" s="1" t="s">
        <v>12</v>
      </c>
      <c r="B287">
        <v>0</v>
      </c>
      <c r="C287" s="5">
        <f>B287/B288</f>
        <v>0</v>
      </c>
      <c r="D287" s="5">
        <f>0/$D$3</f>
        <v>0</v>
      </c>
      <c r="F287">
        <v>0</v>
      </c>
      <c r="G287" s="5">
        <f>F287/F288</f>
        <v>0</v>
      </c>
      <c r="H287" s="5">
        <f>0/$H$3</f>
        <v>0</v>
      </c>
      <c r="J287">
        <v>0</v>
      </c>
      <c r="K287" s="5">
        <f>J287/J288</f>
        <v>0</v>
      </c>
      <c r="L287" s="5">
        <f>0/$L$3</f>
        <v>0</v>
      </c>
      <c r="N287">
        <v>0</v>
      </c>
      <c r="O287" s="5">
        <f>N287/N288</f>
        <v>0</v>
      </c>
      <c r="P287" s="5">
        <f>0/$P$3</f>
        <v>0</v>
      </c>
      <c r="R287">
        <v>0</v>
      </c>
      <c r="S287" s="5">
        <f>R287/R288</f>
        <v>0</v>
      </c>
      <c r="T287" s="5">
        <f>0/$T$3</f>
        <v>0</v>
      </c>
      <c r="V287">
        <v>0</v>
      </c>
      <c r="W287" s="5">
        <f>V287/V288</f>
        <v>0</v>
      </c>
      <c r="X287" s="5">
        <f>0/$X$3</f>
        <v>0</v>
      </c>
      <c r="Z287">
        <v>0</v>
      </c>
      <c r="AA287" s="5">
        <f>Z287/Z288</f>
        <v>0</v>
      </c>
      <c r="AB287" s="5">
        <f>0/$AB$3</f>
        <v>0</v>
      </c>
      <c r="AD287">
        <v>0</v>
      </c>
      <c r="AE287" s="5">
        <f>AD287/AD288</f>
        <v>0</v>
      </c>
      <c r="AF287" s="5">
        <f>0/$AF$3</f>
        <v>0</v>
      </c>
      <c r="AH287">
        <v>0</v>
      </c>
      <c r="AI287" s="5">
        <f>AH287/AH288</f>
        <v>0</v>
      </c>
      <c r="AJ287" s="5">
        <f>0/$AJ$3</f>
        <v>0</v>
      </c>
      <c r="AL287">
        <v>0</v>
      </c>
      <c r="AM287" s="5">
        <f>AL287/AL288</f>
        <v>0</v>
      </c>
      <c r="AN287" s="5">
        <f>0/$AN$3</f>
        <v>0</v>
      </c>
      <c r="AP287">
        <v>0</v>
      </c>
      <c r="AQ287" s="5">
        <f>AP287/AP288</f>
        <v>0</v>
      </c>
      <c r="AR287" s="5">
        <f>0/$AR$3</f>
        <v>0</v>
      </c>
      <c r="AT287">
        <v>0</v>
      </c>
      <c r="AU287" s="5">
        <f>AT287/AT288</f>
        <v>0</v>
      </c>
      <c r="AV287" s="5">
        <f>0/$AV$3</f>
        <v>0</v>
      </c>
      <c r="AX287">
        <v>0</v>
      </c>
      <c r="AY287" s="5">
        <f>AX287/AX288</f>
        <v>0</v>
      </c>
      <c r="AZ287" s="5">
        <f>0/$AZ$3</f>
        <v>0</v>
      </c>
      <c r="BB287">
        <v>0</v>
      </c>
      <c r="BC287" s="5">
        <f>BB287/BB288</f>
        <v>0</v>
      </c>
      <c r="BD287" s="5">
        <f>0/$BD$3</f>
        <v>0</v>
      </c>
      <c r="BF287">
        <v>0</v>
      </c>
      <c r="BG287" s="5">
        <f>BF287/BF288</f>
        <v>0</v>
      </c>
      <c r="BH287" s="5">
        <f>0/$BH$3</f>
        <v>0</v>
      </c>
      <c r="BJ287">
        <v>0</v>
      </c>
      <c r="BK287" s="5">
        <f>BJ287/BJ288</f>
        <v>0</v>
      </c>
      <c r="BL287" s="5">
        <f>0/$BL$3</f>
        <v>0</v>
      </c>
      <c r="BN287">
        <v>0</v>
      </c>
      <c r="BO287" s="5">
        <f>BN287/BN288</f>
        <v>0</v>
      </c>
      <c r="BP287" s="5">
        <f>0/$BP$3</f>
        <v>0</v>
      </c>
      <c r="BR287">
        <v>0</v>
      </c>
      <c r="BS287" s="5">
        <f>BR287/BR288</f>
        <v>0</v>
      </c>
      <c r="BT287" s="5">
        <f>0/$BT$3</f>
        <v>0</v>
      </c>
      <c r="BV287">
        <v>0</v>
      </c>
      <c r="BW287" s="5">
        <f>BV287/BV288</f>
        <v>0</v>
      </c>
      <c r="BX287" s="5">
        <f>0/$BX$3</f>
        <v>0</v>
      </c>
      <c r="BZ287">
        <v>0</v>
      </c>
      <c r="CA287" s="5">
        <f>BZ287/BZ288</f>
        <v>0</v>
      </c>
      <c r="CB287" s="5">
        <f>0/$CB$3</f>
        <v>0</v>
      </c>
      <c r="CD287">
        <v>0</v>
      </c>
      <c r="CE287" s="5">
        <f>CD287/CD288</f>
        <v>0</v>
      </c>
      <c r="CF287" s="5">
        <f>0/$CF$3</f>
        <v>0</v>
      </c>
      <c r="CH287">
        <v>0</v>
      </c>
      <c r="CI287" s="5">
        <f>CH287/CH288</f>
        <v>0</v>
      </c>
      <c r="CJ287" s="5">
        <f>0/$CJ$3</f>
        <v>0</v>
      </c>
      <c r="CL287">
        <v>0</v>
      </c>
      <c r="CM287" s="5">
        <f>CL287/CL288</f>
        <v>0</v>
      </c>
      <c r="CN287" s="5">
        <f>0/$CN$3</f>
        <v>0</v>
      </c>
    </row>
    <row r="288" spans="1:93" s="6" customFormat="1" x14ac:dyDescent="0.25">
      <c r="A288" s="7" t="s">
        <v>13</v>
      </c>
      <c r="B288" s="6">
        <v>1000</v>
      </c>
      <c r="F288" s="6">
        <v>472</v>
      </c>
      <c r="J288" s="6">
        <v>285</v>
      </c>
      <c r="N288" s="6">
        <v>232</v>
      </c>
      <c r="R288" s="6">
        <v>294</v>
      </c>
      <c r="V288" s="6">
        <v>416</v>
      </c>
      <c r="Z288" s="6">
        <v>420</v>
      </c>
      <c r="AD288" s="6">
        <v>500</v>
      </c>
      <c r="AH288" s="6">
        <v>500</v>
      </c>
      <c r="AL288" s="6">
        <v>169</v>
      </c>
      <c r="AP288" s="6">
        <v>311</v>
      </c>
      <c r="AT288" s="6">
        <v>390</v>
      </c>
      <c r="AX288" s="6">
        <v>130</v>
      </c>
      <c r="BB288" s="6">
        <v>406</v>
      </c>
      <c r="BF288" s="6">
        <v>372</v>
      </c>
      <c r="BJ288" s="6">
        <v>222</v>
      </c>
      <c r="BN288" s="6">
        <v>380</v>
      </c>
      <c r="BR288" s="6">
        <v>370</v>
      </c>
      <c r="BV288" s="6">
        <v>250</v>
      </c>
      <c r="BZ288" s="6">
        <v>250</v>
      </c>
      <c r="CD288" s="6">
        <v>210</v>
      </c>
      <c r="CH288" s="6">
        <v>220</v>
      </c>
      <c r="CL288" s="6">
        <v>320</v>
      </c>
    </row>
    <row r="289" spans="1:92" hidden="1" x14ac:dyDescent="0.25">
      <c r="A289" s="8" t="s">
        <v>14</v>
      </c>
      <c r="B289">
        <v>0</v>
      </c>
      <c r="F289">
        <v>0</v>
      </c>
      <c r="J289">
        <v>0</v>
      </c>
      <c r="N289">
        <v>0</v>
      </c>
      <c r="R289">
        <v>0</v>
      </c>
      <c r="V289">
        <v>0</v>
      </c>
      <c r="Z289">
        <v>0</v>
      </c>
      <c r="AD289">
        <v>0</v>
      </c>
      <c r="AH289">
        <v>0</v>
      </c>
      <c r="AL289">
        <v>0</v>
      </c>
      <c r="AP289">
        <v>0</v>
      </c>
      <c r="AT289">
        <v>0</v>
      </c>
      <c r="AX289">
        <v>0</v>
      </c>
      <c r="BB289">
        <v>0</v>
      </c>
      <c r="BF289">
        <v>0</v>
      </c>
      <c r="BJ289">
        <v>0</v>
      </c>
      <c r="BN289">
        <v>0</v>
      </c>
      <c r="BR289">
        <v>0</v>
      </c>
      <c r="BV289">
        <v>0</v>
      </c>
      <c r="BZ289">
        <v>0</v>
      </c>
      <c r="CD289">
        <v>0</v>
      </c>
      <c r="CH289">
        <v>0</v>
      </c>
      <c r="CL289">
        <v>0</v>
      </c>
    </row>
    <row r="290" spans="1:92" hidden="1" x14ac:dyDescent="0.25">
      <c r="A290" s="8" t="s">
        <v>15</v>
      </c>
      <c r="B290">
        <v>0</v>
      </c>
      <c r="F290">
        <v>0</v>
      </c>
      <c r="J290">
        <v>0</v>
      </c>
      <c r="N290">
        <v>0</v>
      </c>
      <c r="R290">
        <v>0</v>
      </c>
      <c r="V290">
        <v>0</v>
      </c>
      <c r="Z290">
        <v>0</v>
      </c>
      <c r="AD290">
        <v>0</v>
      </c>
      <c r="AH290">
        <v>0</v>
      </c>
      <c r="AL290">
        <v>0</v>
      </c>
      <c r="AP290">
        <v>0</v>
      </c>
      <c r="AT290">
        <v>0</v>
      </c>
      <c r="AX290">
        <v>0</v>
      </c>
      <c r="BB290">
        <v>0</v>
      </c>
      <c r="BF290">
        <v>0</v>
      </c>
      <c r="BJ290">
        <v>0</v>
      </c>
      <c r="BN290">
        <v>0</v>
      </c>
      <c r="BR290">
        <v>0</v>
      </c>
      <c r="BV290">
        <v>0</v>
      </c>
      <c r="BZ290">
        <v>0</v>
      </c>
      <c r="CD290">
        <v>0</v>
      </c>
      <c r="CH290">
        <v>0</v>
      </c>
      <c r="CL290">
        <v>0</v>
      </c>
    </row>
    <row r="292" spans="1:92" x14ac:dyDescent="0.25">
      <c r="AN292" s="2" t="s">
        <v>5</v>
      </c>
      <c r="AR292" s="2" t="s">
        <v>6</v>
      </c>
      <c r="AV292" s="2" t="s">
        <v>7</v>
      </c>
      <c r="AZ292" s="2" t="s">
        <v>8</v>
      </c>
      <c r="BD292" s="2" t="s">
        <v>5</v>
      </c>
      <c r="BH292" s="2" t="s">
        <v>6</v>
      </c>
      <c r="BL292" s="2" t="s">
        <v>7</v>
      </c>
      <c r="BP292" s="2" t="s">
        <v>5</v>
      </c>
      <c r="BT292" s="2" t="s">
        <v>6</v>
      </c>
      <c r="BX292" s="2" t="s">
        <v>7</v>
      </c>
      <c r="CB292" s="2" t="s">
        <v>5</v>
      </c>
      <c r="CF292" s="2" t="s">
        <v>6</v>
      </c>
      <c r="CJ292" s="2" t="s">
        <v>7</v>
      </c>
      <c r="CN292" s="2" t="s">
        <v>8</v>
      </c>
    </row>
    <row r="293" spans="1:92" s="3" customFormat="1" x14ac:dyDescent="0.25">
      <c r="A293" s="3" t="s">
        <v>2157</v>
      </c>
      <c r="D293" s="4" t="s">
        <v>10</v>
      </c>
      <c r="H293" s="4" t="s">
        <v>10</v>
      </c>
      <c r="L293" s="4" t="s">
        <v>10</v>
      </c>
      <c r="P293" s="4" t="s">
        <v>10</v>
      </c>
      <c r="T293" s="4" t="s">
        <v>10</v>
      </c>
      <c r="X293" s="4" t="s">
        <v>10</v>
      </c>
      <c r="AB293" s="4" t="s">
        <v>10</v>
      </c>
      <c r="AF293" s="4" t="s">
        <v>10</v>
      </c>
      <c r="AJ293" s="4" t="s">
        <v>10</v>
      </c>
      <c r="AN293" s="4" t="s">
        <v>10</v>
      </c>
      <c r="AR293" s="4" t="s">
        <v>10</v>
      </c>
      <c r="AV293" s="4" t="s">
        <v>10</v>
      </c>
      <c r="AZ293" s="4" t="s">
        <v>10</v>
      </c>
      <c r="BD293" s="4" t="s">
        <v>10</v>
      </c>
      <c r="BH293" s="4" t="s">
        <v>10</v>
      </c>
      <c r="BL293" s="4" t="s">
        <v>10</v>
      </c>
      <c r="BP293" s="4" t="s">
        <v>10</v>
      </c>
      <c r="BT293" s="4" t="s">
        <v>10</v>
      </c>
      <c r="BX293" s="4" t="s">
        <v>10</v>
      </c>
      <c r="CB293" s="4" t="s">
        <v>10</v>
      </c>
      <c r="CF293" s="4" t="s">
        <v>10</v>
      </c>
      <c r="CJ293" s="4" t="s">
        <v>10</v>
      </c>
      <c r="CN293" s="4" t="s">
        <v>10</v>
      </c>
    </row>
    <row r="294" spans="1:92" x14ac:dyDescent="0.25">
      <c r="A294" s="1" t="s">
        <v>2158</v>
      </c>
      <c r="B294">
        <v>285</v>
      </c>
      <c r="C294" s="5">
        <f>B294/B301</f>
        <v>0.28499999999999998</v>
      </c>
      <c r="D294" s="5">
        <f>285/$D$3</f>
        <v>0.28499999999999998</v>
      </c>
      <c r="F294">
        <v>186</v>
      </c>
      <c r="G294" s="5">
        <f>F294/F301</f>
        <v>0.3940677966101695</v>
      </c>
      <c r="H294" s="10">
        <f>186/$H$3</f>
        <v>0.3940677966101695</v>
      </c>
      <c r="J294">
        <v>285</v>
      </c>
      <c r="K294" s="5">
        <f>J294/J301</f>
        <v>1</v>
      </c>
      <c r="L294" s="5">
        <f>285/$L$3</f>
        <v>1</v>
      </c>
      <c r="N294">
        <v>99</v>
      </c>
      <c r="O294" s="5">
        <f>N294/N301</f>
        <v>0.42672413793103448</v>
      </c>
      <c r="P294" s="10">
        <f>99/$P$3</f>
        <v>0.42672413793103448</v>
      </c>
      <c r="R294">
        <v>132</v>
      </c>
      <c r="S294" s="5">
        <f>R294/R301</f>
        <v>0.44897959183673469</v>
      </c>
      <c r="T294" s="10">
        <f>132/$T$3</f>
        <v>0.44897959183673469</v>
      </c>
      <c r="V294">
        <v>168</v>
      </c>
      <c r="W294" s="5">
        <f>V294/V301</f>
        <v>0.40384615384615385</v>
      </c>
      <c r="X294" s="10">
        <f>168/$X$3</f>
        <v>0.40384615384615385</v>
      </c>
      <c r="Z294">
        <v>173</v>
      </c>
      <c r="AA294" s="5">
        <f>Z294/Z301</f>
        <v>0.41190476190476188</v>
      </c>
      <c r="AB294" s="10">
        <f>173/$AB$3</f>
        <v>0.41190476190476188</v>
      </c>
      <c r="AD294">
        <v>172</v>
      </c>
      <c r="AE294" s="5">
        <f>AD294/AD301</f>
        <v>0.34399999999999997</v>
      </c>
      <c r="AF294" s="10">
        <f>172/$AF$3</f>
        <v>0.34399999999999997</v>
      </c>
      <c r="AH294">
        <v>113</v>
      </c>
      <c r="AI294" s="5">
        <f>AH294/AH301</f>
        <v>0.22600000000000001</v>
      </c>
      <c r="AJ294" s="11">
        <f>113/$AJ$3</f>
        <v>0.22600000000000001</v>
      </c>
      <c r="AL294">
        <v>41</v>
      </c>
      <c r="AM294" s="5">
        <f>AL294/AL301</f>
        <v>0.24260355029585798</v>
      </c>
      <c r="AN294" s="5">
        <f>41/$AN$3</f>
        <v>0.24260355029585798</v>
      </c>
      <c r="AP294">
        <v>91</v>
      </c>
      <c r="AQ294" s="5">
        <f>AP294/AP301</f>
        <v>0.29260450160771706</v>
      </c>
      <c r="AR294" s="5">
        <f>91/$AR$3</f>
        <v>0.29260450160771706</v>
      </c>
      <c r="AT294">
        <v>120</v>
      </c>
      <c r="AU294" s="5">
        <f>AT294/AT301</f>
        <v>0.30769230769230771</v>
      </c>
      <c r="AV294" s="5">
        <f>120/$AV$3</f>
        <v>0.30769230769230771</v>
      </c>
      <c r="AX294">
        <v>33</v>
      </c>
      <c r="AY294" s="5">
        <f>AX294/AX301</f>
        <v>0.25384615384615383</v>
      </c>
      <c r="AZ294" s="5">
        <f>33/$AZ$3</f>
        <v>0.25384615384615383</v>
      </c>
      <c r="BB294">
        <v>111</v>
      </c>
      <c r="BC294" s="5">
        <f>BB294/BB301</f>
        <v>0.27339901477832512</v>
      </c>
      <c r="BD294" s="5">
        <f>111/$BD$3</f>
        <v>0.27339901477832512</v>
      </c>
      <c r="BF294">
        <v>103</v>
      </c>
      <c r="BG294" s="5">
        <f>BF294/BF301</f>
        <v>0.2768817204301075</v>
      </c>
      <c r="BH294" s="5">
        <f>103/$BH$3</f>
        <v>0.2768817204301075</v>
      </c>
      <c r="BJ294">
        <v>71</v>
      </c>
      <c r="BK294" s="5">
        <f>BJ294/BJ301</f>
        <v>0.31981981981981983</v>
      </c>
      <c r="BL294" s="5">
        <f>71/$BL$3</f>
        <v>0.31981981981981983</v>
      </c>
      <c r="BN294">
        <v>97</v>
      </c>
      <c r="BO294" s="5">
        <f>BN294/BN301</f>
        <v>0.25526315789473686</v>
      </c>
      <c r="BP294" s="5">
        <f>97/$BP$3</f>
        <v>0.25526315789473686</v>
      </c>
      <c r="BR294">
        <v>103</v>
      </c>
      <c r="BS294" s="5">
        <f>BR294/BR301</f>
        <v>0.27837837837837837</v>
      </c>
      <c r="BT294" s="5">
        <f>103/$BT$3</f>
        <v>0.27837837837837837</v>
      </c>
      <c r="BV294">
        <v>85</v>
      </c>
      <c r="BW294" s="5">
        <f>BV294/BV301</f>
        <v>0.34</v>
      </c>
      <c r="BX294" s="10">
        <f>85/$BX$3</f>
        <v>0.34</v>
      </c>
      <c r="BZ294">
        <v>76</v>
      </c>
      <c r="CA294" s="5">
        <f>BZ294/BZ301</f>
        <v>0.30399999999999999</v>
      </c>
      <c r="CB294" s="5">
        <f>76/$CB$3</f>
        <v>0.30399999999999999</v>
      </c>
      <c r="CD294">
        <v>50</v>
      </c>
      <c r="CE294" s="5">
        <f>CD294/CD301</f>
        <v>0.23809523809523808</v>
      </c>
      <c r="CF294" s="5">
        <f>50/$CF$3</f>
        <v>0.23809523809523808</v>
      </c>
      <c r="CH294">
        <v>64</v>
      </c>
      <c r="CI294" s="5">
        <f>CH294/CH301</f>
        <v>0.29090909090909089</v>
      </c>
      <c r="CJ294" s="5">
        <f>64/$CJ$3</f>
        <v>0.29090909090909089</v>
      </c>
      <c r="CL294">
        <v>95</v>
      </c>
      <c r="CM294" s="5">
        <f>CL294/CL301</f>
        <v>0.296875</v>
      </c>
      <c r="CN294" s="5">
        <f>95/$CN$3</f>
        <v>0.296875</v>
      </c>
    </row>
    <row r="295" spans="1:92" x14ac:dyDescent="0.25">
      <c r="A295" s="1" t="s">
        <v>1065</v>
      </c>
      <c r="B295">
        <v>737</v>
      </c>
      <c r="C295" s="5">
        <f>B295/B301</f>
        <v>0.73699999999999999</v>
      </c>
      <c r="D295" s="5">
        <f>737/$D$3</f>
        <v>0.73699999999999999</v>
      </c>
      <c r="F295">
        <v>425</v>
      </c>
      <c r="G295" s="5">
        <f>F295/F301</f>
        <v>0.90042372881355937</v>
      </c>
      <c r="H295" s="10">
        <f>425/$H$3</f>
        <v>0.90042372881355937</v>
      </c>
      <c r="J295">
        <v>265</v>
      </c>
      <c r="K295" s="5">
        <f>J295/J301</f>
        <v>0.92982456140350878</v>
      </c>
      <c r="L295" s="10">
        <f>265/$L$3</f>
        <v>0.92982456140350878</v>
      </c>
      <c r="N295">
        <v>218</v>
      </c>
      <c r="O295" s="5">
        <f>N295/N301</f>
        <v>0.93965517241379315</v>
      </c>
      <c r="P295" s="10">
        <f>218/$P$3</f>
        <v>0.93965517241379315</v>
      </c>
      <c r="R295">
        <v>271</v>
      </c>
      <c r="S295" s="5">
        <f>R295/R301</f>
        <v>0.92176870748299322</v>
      </c>
      <c r="T295" s="10">
        <f>271/$T$3</f>
        <v>0.92176870748299322</v>
      </c>
      <c r="V295">
        <v>386</v>
      </c>
      <c r="W295" s="5">
        <f>V295/V301</f>
        <v>0.92788461538461542</v>
      </c>
      <c r="X295" s="10">
        <f>386/$X$3</f>
        <v>0.92788461538461542</v>
      </c>
      <c r="Z295">
        <v>389</v>
      </c>
      <c r="AA295" s="5">
        <f>Z295/Z301</f>
        <v>0.92619047619047623</v>
      </c>
      <c r="AB295" s="10">
        <f>389/$AB$3</f>
        <v>0.92619047619047623</v>
      </c>
      <c r="AD295">
        <v>359</v>
      </c>
      <c r="AE295" s="5">
        <f>AD295/AD301</f>
        <v>0.71799999999999997</v>
      </c>
      <c r="AF295" s="5">
        <f>359/$AF$3</f>
        <v>0.71799999999999997</v>
      </c>
      <c r="AH295">
        <v>378</v>
      </c>
      <c r="AI295" s="5">
        <f>AH295/AH301</f>
        <v>0.75600000000000001</v>
      </c>
      <c r="AJ295" s="5">
        <f>378/$AJ$3</f>
        <v>0.75600000000000001</v>
      </c>
      <c r="AL295">
        <v>139</v>
      </c>
      <c r="AM295" s="5">
        <f>AL295/AL301</f>
        <v>0.8224852071005917</v>
      </c>
      <c r="AN295" s="10">
        <f>139/$AN$3</f>
        <v>0.8224852071005917</v>
      </c>
      <c r="AO295" s="12"/>
      <c r="AP295">
        <v>235</v>
      </c>
      <c r="AQ295" s="5">
        <f>AP295/AP301</f>
        <v>0.75562700964630225</v>
      </c>
      <c r="AR295" s="5">
        <f>235/$AR$3</f>
        <v>0.75562700964630225</v>
      </c>
      <c r="AS295" s="12"/>
      <c r="AT295">
        <v>286</v>
      </c>
      <c r="AU295" s="5">
        <f>AT295/AT301</f>
        <v>0.73333333333333328</v>
      </c>
      <c r="AV295" s="5">
        <f>286/$AV$3</f>
        <v>0.73333333333333328</v>
      </c>
      <c r="AW295" s="12"/>
      <c r="AX295">
        <v>77</v>
      </c>
      <c r="AY295" s="5">
        <f>AX295/AX301</f>
        <v>0.59230769230769231</v>
      </c>
      <c r="AZ295" s="11">
        <f>77/$AZ$3</f>
        <v>0.59230769230769231</v>
      </c>
      <c r="BB295">
        <v>281</v>
      </c>
      <c r="BC295" s="5">
        <f>BB295/BB301</f>
        <v>0.69211822660098521</v>
      </c>
      <c r="BD295" s="5">
        <f>281/$BD$3</f>
        <v>0.69211822660098521</v>
      </c>
      <c r="BF295">
        <v>281</v>
      </c>
      <c r="BG295" s="5">
        <f>BF295/BF301</f>
        <v>0.7553763440860215</v>
      </c>
      <c r="BH295" s="5">
        <f>281/$BH$3</f>
        <v>0.7553763440860215</v>
      </c>
      <c r="BJ295">
        <v>175</v>
      </c>
      <c r="BK295" s="5">
        <f>BJ295/BJ301</f>
        <v>0.78828828828828834</v>
      </c>
      <c r="BL295" s="10">
        <f>175/$BL$3</f>
        <v>0.78828828828828834</v>
      </c>
      <c r="BN295">
        <v>259</v>
      </c>
      <c r="BO295" s="5">
        <f>BN295/BN301</f>
        <v>0.68157894736842106</v>
      </c>
      <c r="BP295" s="11">
        <f>259/$BP$3</f>
        <v>0.68157894736842106</v>
      </c>
      <c r="BR295">
        <v>283</v>
      </c>
      <c r="BS295" s="5">
        <f>BR295/BR301</f>
        <v>0.76486486486486482</v>
      </c>
      <c r="BT295" s="5">
        <f>283/$BT$3</f>
        <v>0.76486486486486482</v>
      </c>
      <c r="BV295">
        <v>195</v>
      </c>
      <c r="BW295" s="5">
        <f>BV295/BV301</f>
        <v>0.78</v>
      </c>
      <c r="BX295" s="5">
        <f>195/$BX$3</f>
        <v>0.78</v>
      </c>
      <c r="BY295" s="12"/>
      <c r="BZ295">
        <v>186</v>
      </c>
      <c r="CA295" s="5">
        <f>BZ295/BZ301</f>
        <v>0.74399999999999999</v>
      </c>
      <c r="CB295" s="5">
        <f>186/$CB$3</f>
        <v>0.74399999999999999</v>
      </c>
      <c r="CD295">
        <v>146</v>
      </c>
      <c r="CE295" s="5">
        <f>CD295/CD301</f>
        <v>0.69523809523809521</v>
      </c>
      <c r="CF295" s="5">
        <f>146/$CF$3</f>
        <v>0.69523809523809521</v>
      </c>
      <c r="CH295">
        <v>165</v>
      </c>
      <c r="CI295" s="5">
        <f>CH295/CH301</f>
        <v>0.75</v>
      </c>
      <c r="CJ295" s="5">
        <f>165/$CJ$3</f>
        <v>0.75</v>
      </c>
      <c r="CL295">
        <v>240</v>
      </c>
      <c r="CM295" s="5">
        <f>CL295/CL301</f>
        <v>0.75</v>
      </c>
      <c r="CN295" s="5">
        <f>240/$CN$3</f>
        <v>0.75</v>
      </c>
    </row>
    <row r="296" spans="1:92" x14ac:dyDescent="0.25">
      <c r="A296" s="1" t="s">
        <v>2159</v>
      </c>
      <c r="B296">
        <v>49</v>
      </c>
      <c r="C296" s="5">
        <f>B296/B301</f>
        <v>4.9000000000000002E-2</v>
      </c>
      <c r="D296" s="5">
        <f>49/$D$3</f>
        <v>4.9000000000000002E-2</v>
      </c>
      <c r="F296">
        <v>37</v>
      </c>
      <c r="G296" s="5">
        <f>F296/F301</f>
        <v>7.8389830508474576E-2</v>
      </c>
      <c r="H296" s="5">
        <f>37/$H$3</f>
        <v>7.8389830508474576E-2</v>
      </c>
      <c r="J296">
        <v>39</v>
      </c>
      <c r="K296" s="5">
        <f>J296/J301</f>
        <v>0.1368421052631579</v>
      </c>
      <c r="L296" s="5">
        <f>39/$L$3</f>
        <v>0.1368421052631579</v>
      </c>
      <c r="N296">
        <v>24</v>
      </c>
      <c r="O296" s="5">
        <f>N296/N301</f>
        <v>0.10344827586206896</v>
      </c>
      <c r="P296" s="5">
        <f>24/$P$3</f>
        <v>0.10344827586206896</v>
      </c>
      <c r="R296">
        <v>30</v>
      </c>
      <c r="S296" s="5">
        <f>R296/R301</f>
        <v>0.10204081632653061</v>
      </c>
      <c r="T296" s="5">
        <f>30/$T$3</f>
        <v>0.10204081632653061</v>
      </c>
      <c r="V296">
        <v>33</v>
      </c>
      <c r="W296" s="5">
        <f>V296/V301</f>
        <v>7.9326923076923073E-2</v>
      </c>
      <c r="X296" s="5">
        <f>33/$X$3</f>
        <v>7.9326923076923073E-2</v>
      </c>
      <c r="Z296">
        <v>35</v>
      </c>
      <c r="AA296" s="5">
        <f>Z296/Z301</f>
        <v>8.3333333333333329E-2</v>
      </c>
      <c r="AB296" s="5">
        <f>35/$AB$3</f>
        <v>8.3333333333333329E-2</v>
      </c>
      <c r="AD296">
        <v>34</v>
      </c>
      <c r="AE296" s="5">
        <f>AD296/AD301</f>
        <v>6.8000000000000005E-2</v>
      </c>
      <c r="AF296" s="5">
        <f>34/$AF$3</f>
        <v>6.8000000000000005E-2</v>
      </c>
      <c r="AH296">
        <v>15</v>
      </c>
      <c r="AI296" s="5">
        <f>AH296/AH301</f>
        <v>0.03</v>
      </c>
      <c r="AJ296" s="5">
        <f>15/$AJ$3</f>
        <v>0.03</v>
      </c>
      <c r="AL296">
        <v>6</v>
      </c>
      <c r="AM296" s="5">
        <f>AL296/AL301</f>
        <v>3.5502958579881658E-2</v>
      </c>
      <c r="AN296" s="5">
        <f>6/$AN$3</f>
        <v>3.5502958579881658E-2</v>
      </c>
      <c r="AP296">
        <v>18</v>
      </c>
      <c r="AQ296" s="5">
        <f>AP296/AP301</f>
        <v>5.7877813504823149E-2</v>
      </c>
      <c r="AR296" s="5">
        <f>18/$AR$3</f>
        <v>5.7877813504823149E-2</v>
      </c>
      <c r="AT296">
        <v>22</v>
      </c>
      <c r="AU296" s="5">
        <f>AT296/AT301</f>
        <v>5.6410256410256411E-2</v>
      </c>
      <c r="AV296" s="5">
        <f>22/$AV$3</f>
        <v>5.6410256410256411E-2</v>
      </c>
      <c r="AX296">
        <v>3</v>
      </c>
      <c r="AY296" s="5">
        <f>AX296/AX301</f>
        <v>2.3076923076923078E-2</v>
      </c>
      <c r="AZ296" s="5">
        <f>3/$AZ$3</f>
        <v>2.3076923076923078E-2</v>
      </c>
      <c r="BB296">
        <v>24</v>
      </c>
      <c r="BC296" s="5">
        <f>BB296/BB301</f>
        <v>5.9113300492610835E-2</v>
      </c>
      <c r="BD296" s="5">
        <f>24/$BD$3</f>
        <v>5.9113300492610835E-2</v>
      </c>
      <c r="BF296">
        <v>16</v>
      </c>
      <c r="BG296" s="5">
        <f>BF296/BF301</f>
        <v>4.3010752688172046E-2</v>
      </c>
      <c r="BH296" s="5">
        <f>16/$BH$3</f>
        <v>4.3010752688172046E-2</v>
      </c>
      <c r="BJ296">
        <v>9</v>
      </c>
      <c r="BK296" s="5">
        <f>BJ296/BJ301</f>
        <v>4.0540540540540543E-2</v>
      </c>
      <c r="BL296" s="5">
        <f>9/$BL$3</f>
        <v>4.0540540540540543E-2</v>
      </c>
      <c r="BN296">
        <v>21</v>
      </c>
      <c r="BO296" s="5">
        <f>BN296/BN301</f>
        <v>5.526315789473684E-2</v>
      </c>
      <c r="BP296" s="5">
        <f>21/$BP$3</f>
        <v>5.526315789473684E-2</v>
      </c>
      <c r="BR296">
        <v>17</v>
      </c>
      <c r="BS296" s="5">
        <f>BR296/BR301</f>
        <v>4.5945945945945948E-2</v>
      </c>
      <c r="BT296" s="5">
        <f>17/$BT$3</f>
        <v>4.5945945945945948E-2</v>
      </c>
      <c r="BV296">
        <v>11</v>
      </c>
      <c r="BW296" s="5">
        <f>BV296/BV301</f>
        <v>4.3999999999999997E-2</v>
      </c>
      <c r="BX296" s="5">
        <f>11/$BX$3</f>
        <v>4.3999999999999997E-2</v>
      </c>
      <c r="BZ296">
        <v>11</v>
      </c>
      <c r="CA296" s="5">
        <f>BZ296/BZ301</f>
        <v>4.3999999999999997E-2</v>
      </c>
      <c r="CB296" s="5">
        <f>11/$CB$3</f>
        <v>4.3999999999999997E-2</v>
      </c>
      <c r="CD296">
        <v>7</v>
      </c>
      <c r="CE296" s="5">
        <f>CD296/CD301</f>
        <v>3.3333333333333333E-2</v>
      </c>
      <c r="CF296" s="5">
        <f>7/$CF$3</f>
        <v>3.3333333333333333E-2</v>
      </c>
      <c r="CH296">
        <v>17</v>
      </c>
      <c r="CI296" s="5">
        <f>CH296/CH301</f>
        <v>7.7272727272727271E-2</v>
      </c>
      <c r="CJ296" s="5">
        <f>17/$CJ$3</f>
        <v>7.7272727272727271E-2</v>
      </c>
      <c r="CL296">
        <v>14</v>
      </c>
      <c r="CM296" s="5">
        <f>CL296/CL301</f>
        <v>4.3749999999999997E-2</v>
      </c>
      <c r="CN296" s="5">
        <f>14/$CN$3</f>
        <v>4.3749999999999997E-2</v>
      </c>
    </row>
    <row r="297" spans="1:92" x14ac:dyDescent="0.25">
      <c r="A297" s="1" t="s">
        <v>2160</v>
      </c>
      <c r="B297">
        <v>551</v>
      </c>
      <c r="C297" s="5">
        <f>B297/B301</f>
        <v>0.55100000000000005</v>
      </c>
      <c r="D297" s="5">
        <f>551/$D$3</f>
        <v>0.55100000000000005</v>
      </c>
      <c r="F297">
        <v>299</v>
      </c>
      <c r="G297" s="5">
        <f>F297/F301</f>
        <v>0.63347457627118642</v>
      </c>
      <c r="H297" s="10">
        <f>299/$H$3</f>
        <v>0.63347457627118642</v>
      </c>
      <c r="J297">
        <v>245</v>
      </c>
      <c r="K297" s="5">
        <f>J297/J301</f>
        <v>0.85964912280701755</v>
      </c>
      <c r="L297" s="10">
        <f>245/$L$3</f>
        <v>0.85964912280701755</v>
      </c>
      <c r="N297">
        <v>165</v>
      </c>
      <c r="O297" s="5">
        <f>N297/N301</f>
        <v>0.71120689655172409</v>
      </c>
      <c r="P297" s="10">
        <f>165/$P$3</f>
        <v>0.71120689655172409</v>
      </c>
      <c r="R297">
        <v>205</v>
      </c>
      <c r="S297" s="5">
        <f>R297/R301</f>
        <v>0.69727891156462585</v>
      </c>
      <c r="T297" s="10">
        <f>205/$T$3</f>
        <v>0.69727891156462585</v>
      </c>
      <c r="V297">
        <v>275</v>
      </c>
      <c r="W297" s="5">
        <f>V297/V301</f>
        <v>0.66105769230769229</v>
      </c>
      <c r="X297" s="10">
        <f>275/$X$3</f>
        <v>0.66105769230769229</v>
      </c>
      <c r="Z297">
        <v>280</v>
      </c>
      <c r="AA297" s="5">
        <f>Z297/Z301</f>
        <v>0.66666666666666663</v>
      </c>
      <c r="AB297" s="10">
        <f>280/$AB$3</f>
        <v>0.66666666666666663</v>
      </c>
      <c r="AD297">
        <v>291</v>
      </c>
      <c r="AE297" s="5">
        <f>AD297/AD301</f>
        <v>0.58199999999999996</v>
      </c>
      <c r="AF297" s="5">
        <f>291/$AF$3</f>
        <v>0.58199999999999996</v>
      </c>
      <c r="AH297">
        <v>260</v>
      </c>
      <c r="AI297" s="5">
        <f>AH297/AH301</f>
        <v>0.52</v>
      </c>
      <c r="AJ297" s="5">
        <f>260/$AJ$3</f>
        <v>0.52</v>
      </c>
      <c r="AL297">
        <v>77</v>
      </c>
      <c r="AM297" s="5">
        <f>AL297/AL301</f>
        <v>0.45562130177514792</v>
      </c>
      <c r="AN297" s="11">
        <f>77/$AN$3</f>
        <v>0.45562130177514792</v>
      </c>
      <c r="AP297">
        <v>156</v>
      </c>
      <c r="AQ297" s="5">
        <f>AP297/AP301</f>
        <v>0.50160771704180063</v>
      </c>
      <c r="AR297" s="5">
        <f>156/$AR$3</f>
        <v>0.50160771704180063</v>
      </c>
      <c r="AT297">
        <v>241</v>
      </c>
      <c r="AU297" s="5">
        <f>AT297/AT301</f>
        <v>0.61794871794871797</v>
      </c>
      <c r="AV297" s="10">
        <f>241/$AV$3</f>
        <v>0.61794871794871797</v>
      </c>
      <c r="AW297" s="12"/>
      <c r="AX297">
        <v>77</v>
      </c>
      <c r="AY297" s="5">
        <f>AX297/AX301</f>
        <v>0.59230769230769231</v>
      </c>
      <c r="AZ297" s="5">
        <f>77/$AZ$3</f>
        <v>0.59230769230769231</v>
      </c>
      <c r="BB297">
        <v>190</v>
      </c>
      <c r="BC297" s="5">
        <f>BB297/BB301</f>
        <v>0.46798029556650245</v>
      </c>
      <c r="BD297" s="11">
        <f>190/$BD$3</f>
        <v>0.46798029556650245</v>
      </c>
      <c r="BF297">
        <v>222</v>
      </c>
      <c r="BG297" s="5">
        <f>BF297/BF301</f>
        <v>0.59677419354838712</v>
      </c>
      <c r="BH297" s="5">
        <f>222/$BH$3</f>
        <v>0.59677419354838712</v>
      </c>
      <c r="BI297" s="12"/>
      <c r="BJ297">
        <v>139</v>
      </c>
      <c r="BK297" s="5">
        <f>BJ297/BJ301</f>
        <v>0.62612612612612617</v>
      </c>
      <c r="BL297" s="10">
        <f>139/$BL$3</f>
        <v>0.62612612612612617</v>
      </c>
      <c r="BM297" s="12"/>
      <c r="BN297">
        <v>191</v>
      </c>
      <c r="BO297" s="5">
        <f>BN297/BN301</f>
        <v>0.50263157894736843</v>
      </c>
      <c r="BP297" s="5">
        <f>191/$BP$3</f>
        <v>0.50263157894736843</v>
      </c>
      <c r="BR297">
        <v>216</v>
      </c>
      <c r="BS297" s="5">
        <f>BR297/BR301</f>
        <v>0.58378378378378382</v>
      </c>
      <c r="BT297" s="5">
        <f>216/$BT$3</f>
        <v>0.58378378378378382</v>
      </c>
      <c r="BV297">
        <v>144</v>
      </c>
      <c r="BW297" s="5">
        <f>BV297/BV301</f>
        <v>0.57599999999999996</v>
      </c>
      <c r="BX297" s="5">
        <f>144/$BX$3</f>
        <v>0.57599999999999996</v>
      </c>
      <c r="BZ297">
        <v>150</v>
      </c>
      <c r="CA297" s="5">
        <f>BZ297/BZ301</f>
        <v>0.6</v>
      </c>
      <c r="CB297" s="5">
        <f>150/$CB$3</f>
        <v>0.6</v>
      </c>
      <c r="CD297">
        <v>111</v>
      </c>
      <c r="CE297" s="5">
        <f>CD297/CD301</f>
        <v>0.52857142857142858</v>
      </c>
      <c r="CF297" s="5">
        <f>111/$CF$3</f>
        <v>0.52857142857142858</v>
      </c>
      <c r="CH297">
        <v>134</v>
      </c>
      <c r="CI297" s="5">
        <f>CH297/CH301</f>
        <v>0.60909090909090913</v>
      </c>
      <c r="CJ297" s="10">
        <f>134/$CJ$3</f>
        <v>0.60909090909090913</v>
      </c>
      <c r="CK297" s="12"/>
      <c r="CL297">
        <v>156</v>
      </c>
      <c r="CM297" s="5">
        <f>CL297/CL301</f>
        <v>0.48749999999999999</v>
      </c>
      <c r="CN297" s="11">
        <f>156/$CN$3</f>
        <v>0.48749999999999999</v>
      </c>
    </row>
    <row r="298" spans="1:92" x14ac:dyDescent="0.25">
      <c r="A298" s="1" t="s">
        <v>2161</v>
      </c>
      <c r="B298">
        <v>443</v>
      </c>
      <c r="C298" s="5">
        <f>B298/B301</f>
        <v>0.443</v>
      </c>
      <c r="D298" s="5">
        <f>443/$D$3</f>
        <v>0.443</v>
      </c>
      <c r="F298">
        <v>257</v>
      </c>
      <c r="G298" s="5">
        <f>F298/F301</f>
        <v>0.54449152542372881</v>
      </c>
      <c r="H298" s="10">
        <f>257/$H$3</f>
        <v>0.54449152542372881</v>
      </c>
      <c r="J298">
        <v>194</v>
      </c>
      <c r="K298" s="5">
        <f>J298/J301</f>
        <v>0.68070175438596492</v>
      </c>
      <c r="L298" s="10">
        <f>194/$L$3</f>
        <v>0.68070175438596492</v>
      </c>
      <c r="N298">
        <v>140</v>
      </c>
      <c r="O298" s="5">
        <f>N298/N301</f>
        <v>0.60344827586206895</v>
      </c>
      <c r="P298" s="10">
        <f>140/$P$3</f>
        <v>0.60344827586206895</v>
      </c>
      <c r="R298">
        <v>173</v>
      </c>
      <c r="S298" s="5">
        <f>R298/R301</f>
        <v>0.58843537414965985</v>
      </c>
      <c r="T298" s="10">
        <f>173/$T$3</f>
        <v>0.58843537414965985</v>
      </c>
      <c r="V298">
        <v>232</v>
      </c>
      <c r="W298" s="5">
        <f>V298/V301</f>
        <v>0.55769230769230771</v>
      </c>
      <c r="X298" s="10">
        <f>232/$X$3</f>
        <v>0.55769230769230771</v>
      </c>
      <c r="Z298">
        <v>236</v>
      </c>
      <c r="AA298" s="5">
        <f>Z298/Z301</f>
        <v>0.56190476190476191</v>
      </c>
      <c r="AB298" s="10">
        <f>236/$AB$3</f>
        <v>0.56190476190476191</v>
      </c>
      <c r="AD298">
        <v>225</v>
      </c>
      <c r="AE298" s="5">
        <f>AD298/AD301</f>
        <v>0.45</v>
      </c>
      <c r="AF298" s="5">
        <f>225/$AF$3</f>
        <v>0.45</v>
      </c>
      <c r="AH298">
        <v>218</v>
      </c>
      <c r="AI298" s="5">
        <f>AH298/AH301</f>
        <v>0.436</v>
      </c>
      <c r="AJ298" s="5">
        <f>218/$AJ$3</f>
        <v>0.436</v>
      </c>
      <c r="AL298">
        <v>84</v>
      </c>
      <c r="AM298" s="5">
        <f>AL298/AL301</f>
        <v>0.49704142011834318</v>
      </c>
      <c r="AN298" s="5">
        <f>84/$AN$3</f>
        <v>0.49704142011834318</v>
      </c>
      <c r="AO298" s="12"/>
      <c r="AP298">
        <v>144</v>
      </c>
      <c r="AQ298" s="5">
        <f>AP298/AP301</f>
        <v>0.46302250803858519</v>
      </c>
      <c r="AR298" s="5">
        <f>144/$AR$3</f>
        <v>0.46302250803858519</v>
      </c>
      <c r="AS298" s="12"/>
      <c r="AT298">
        <v>175</v>
      </c>
      <c r="AU298" s="5">
        <f>AT298/AT301</f>
        <v>0.44871794871794873</v>
      </c>
      <c r="AV298" s="5">
        <f>175/$AV$3</f>
        <v>0.44871794871794873</v>
      </c>
      <c r="AW298" s="12"/>
      <c r="AX298">
        <v>40</v>
      </c>
      <c r="AY298" s="5">
        <f>AX298/AX301</f>
        <v>0.30769230769230771</v>
      </c>
      <c r="AZ298" s="11">
        <f>40/$AZ$3</f>
        <v>0.30769230769230771</v>
      </c>
      <c r="BB298">
        <v>182</v>
      </c>
      <c r="BC298" s="5">
        <f>BB298/BB301</f>
        <v>0.44827586206896552</v>
      </c>
      <c r="BD298" s="5">
        <f>182/$BD$3</f>
        <v>0.44827586206896552</v>
      </c>
      <c r="BF298">
        <v>156</v>
      </c>
      <c r="BG298" s="5">
        <f>BF298/BF301</f>
        <v>0.41935483870967744</v>
      </c>
      <c r="BH298" s="5">
        <f>156/$BH$3</f>
        <v>0.41935483870967744</v>
      </c>
      <c r="BJ298">
        <v>105</v>
      </c>
      <c r="BK298" s="5">
        <f>BJ298/BJ301</f>
        <v>0.47297297297297297</v>
      </c>
      <c r="BL298" s="5">
        <f>105/$BL$3</f>
        <v>0.47297297297297297</v>
      </c>
      <c r="BN298">
        <v>154</v>
      </c>
      <c r="BO298" s="5">
        <f>BN298/BN301</f>
        <v>0.40526315789473683</v>
      </c>
      <c r="BP298" s="5">
        <f>154/$BP$3</f>
        <v>0.40526315789473683</v>
      </c>
      <c r="BR298">
        <v>166</v>
      </c>
      <c r="BS298" s="5">
        <f>BR298/BR301</f>
        <v>0.44864864864864867</v>
      </c>
      <c r="BT298" s="5">
        <f>166/$BT$3</f>
        <v>0.44864864864864867</v>
      </c>
      <c r="BV298">
        <v>123</v>
      </c>
      <c r="BW298" s="5">
        <f>BV298/BV301</f>
        <v>0.49199999999999999</v>
      </c>
      <c r="BX298" s="5">
        <f>123/$BX$3</f>
        <v>0.49199999999999999</v>
      </c>
      <c r="BZ298">
        <v>105</v>
      </c>
      <c r="CA298" s="5">
        <f>BZ298/BZ301</f>
        <v>0.42</v>
      </c>
      <c r="CB298" s="5">
        <f>105/$CB$3</f>
        <v>0.42</v>
      </c>
      <c r="CD298">
        <v>90</v>
      </c>
      <c r="CE298" s="5">
        <f>CD298/CD301</f>
        <v>0.42857142857142855</v>
      </c>
      <c r="CF298" s="5">
        <f>90/$CF$3</f>
        <v>0.42857142857142855</v>
      </c>
      <c r="CH298">
        <v>100</v>
      </c>
      <c r="CI298" s="5">
        <f>CH298/CH301</f>
        <v>0.45454545454545453</v>
      </c>
      <c r="CJ298" s="5">
        <f>100/$CJ$3</f>
        <v>0.45454545454545453</v>
      </c>
      <c r="CL298">
        <v>148</v>
      </c>
      <c r="CM298" s="5">
        <f>CL298/CL301</f>
        <v>0.46250000000000002</v>
      </c>
      <c r="CN298" s="5">
        <f>148/$CN$3</f>
        <v>0.46250000000000002</v>
      </c>
    </row>
    <row r="299" spans="1:92" x14ac:dyDescent="0.25">
      <c r="A299" s="1" t="s">
        <v>2162</v>
      </c>
      <c r="B299">
        <v>229</v>
      </c>
      <c r="C299" s="5">
        <f>B299/B301</f>
        <v>0.22900000000000001</v>
      </c>
      <c r="D299" s="5">
        <f>229/$D$3</f>
        <v>0.22900000000000001</v>
      </c>
      <c r="F299">
        <v>156</v>
      </c>
      <c r="G299" s="5">
        <f>F299/F301</f>
        <v>0.33050847457627119</v>
      </c>
      <c r="H299" s="10">
        <f>156/$H$3</f>
        <v>0.33050847457627119</v>
      </c>
      <c r="J299">
        <v>146</v>
      </c>
      <c r="K299" s="5">
        <f>J299/J301</f>
        <v>0.512280701754386</v>
      </c>
      <c r="L299" s="10">
        <f>146/$L$3</f>
        <v>0.512280701754386</v>
      </c>
      <c r="N299">
        <v>87</v>
      </c>
      <c r="O299" s="5">
        <f>N299/N301</f>
        <v>0.375</v>
      </c>
      <c r="P299" s="10">
        <f>87/$P$3</f>
        <v>0.375</v>
      </c>
      <c r="R299">
        <v>106</v>
      </c>
      <c r="S299" s="5">
        <f>R299/R301</f>
        <v>0.36054421768707484</v>
      </c>
      <c r="T299" s="10">
        <f>106/$T$3</f>
        <v>0.36054421768707484</v>
      </c>
      <c r="V299">
        <v>140</v>
      </c>
      <c r="W299" s="5">
        <f>V299/V301</f>
        <v>0.33653846153846156</v>
      </c>
      <c r="X299" s="10">
        <f>140/$X$3</f>
        <v>0.33653846153846156</v>
      </c>
      <c r="Z299">
        <v>143</v>
      </c>
      <c r="AA299" s="5">
        <f>Z299/Z301</f>
        <v>0.34047619047619049</v>
      </c>
      <c r="AB299" s="10">
        <f>143/$AB$3</f>
        <v>0.34047619047619049</v>
      </c>
      <c r="AD299">
        <v>142</v>
      </c>
      <c r="AE299" s="5">
        <f>AD299/AD301</f>
        <v>0.28399999999999997</v>
      </c>
      <c r="AF299" s="10">
        <f>142/$AF$3</f>
        <v>0.28399999999999997</v>
      </c>
      <c r="AH299">
        <v>87</v>
      </c>
      <c r="AI299" s="5">
        <f>AH299/AH301</f>
        <v>0.17399999999999999</v>
      </c>
      <c r="AJ299" s="11">
        <f>87/$AJ$3</f>
        <v>0.17399999999999999</v>
      </c>
      <c r="AL299">
        <v>20</v>
      </c>
      <c r="AM299" s="5">
        <f>AL299/AL301</f>
        <v>0.11834319526627218</v>
      </c>
      <c r="AN299" s="11">
        <f>20/$AN$3</f>
        <v>0.11834319526627218</v>
      </c>
      <c r="AP299">
        <v>82</v>
      </c>
      <c r="AQ299" s="5">
        <f>AP299/AP301</f>
        <v>0.26366559485530544</v>
      </c>
      <c r="AR299" s="5">
        <f>82/$AR$3</f>
        <v>0.26366559485530544</v>
      </c>
      <c r="AS299" s="12"/>
      <c r="AT299">
        <v>103</v>
      </c>
      <c r="AU299" s="5">
        <f>AT299/AT301</f>
        <v>0.26410256410256411</v>
      </c>
      <c r="AV299" s="5">
        <f>103/$AV$3</f>
        <v>0.26410256410256411</v>
      </c>
      <c r="AW299" s="12"/>
      <c r="AX299">
        <v>24</v>
      </c>
      <c r="AY299" s="5">
        <f>AX299/AX301</f>
        <v>0.18461538461538463</v>
      </c>
      <c r="AZ299" s="5">
        <f>24/$AZ$3</f>
        <v>0.18461538461538463</v>
      </c>
      <c r="BB299">
        <v>103</v>
      </c>
      <c r="BC299" s="5">
        <f>BB299/BB301</f>
        <v>0.2536945812807882</v>
      </c>
      <c r="BD299" s="5">
        <f>103/$BD$3</f>
        <v>0.2536945812807882</v>
      </c>
      <c r="BF299">
        <v>84</v>
      </c>
      <c r="BG299" s="5">
        <f>BF299/BF301</f>
        <v>0.22580645161290322</v>
      </c>
      <c r="BH299" s="5">
        <f>84/$BH$3</f>
        <v>0.22580645161290322</v>
      </c>
      <c r="BJ299">
        <v>42</v>
      </c>
      <c r="BK299" s="5">
        <f>BJ299/BJ301</f>
        <v>0.1891891891891892</v>
      </c>
      <c r="BL299" s="5">
        <f>42/$BL$3</f>
        <v>0.1891891891891892</v>
      </c>
      <c r="BN299">
        <v>84</v>
      </c>
      <c r="BO299" s="5">
        <f>BN299/BN301</f>
        <v>0.22105263157894736</v>
      </c>
      <c r="BP299" s="5">
        <f>84/$BP$3</f>
        <v>0.22105263157894736</v>
      </c>
      <c r="BR299">
        <v>73</v>
      </c>
      <c r="BS299" s="5">
        <f>BR299/BR301</f>
        <v>0.19729729729729731</v>
      </c>
      <c r="BT299" s="5">
        <f>73/$BT$3</f>
        <v>0.19729729729729731</v>
      </c>
      <c r="BV299">
        <v>72</v>
      </c>
      <c r="BW299" s="5">
        <f>BV299/BV301</f>
        <v>0.28799999999999998</v>
      </c>
      <c r="BX299" s="10">
        <f>72/$BX$3</f>
        <v>0.28799999999999998</v>
      </c>
      <c r="BZ299">
        <v>55</v>
      </c>
      <c r="CA299" s="5">
        <f>BZ299/BZ301</f>
        <v>0.22</v>
      </c>
      <c r="CB299" s="5">
        <f>55/$CB$3</f>
        <v>0.22</v>
      </c>
      <c r="CD299">
        <v>49</v>
      </c>
      <c r="CE299" s="5">
        <f>CD299/CD301</f>
        <v>0.23333333333333334</v>
      </c>
      <c r="CF299" s="5">
        <f>49/$CF$3</f>
        <v>0.23333333333333334</v>
      </c>
      <c r="CH299">
        <v>53</v>
      </c>
      <c r="CI299" s="5">
        <f>CH299/CH301</f>
        <v>0.24090909090909091</v>
      </c>
      <c r="CJ299" s="5">
        <f>53/$CJ$3</f>
        <v>0.24090909090909091</v>
      </c>
      <c r="CL299">
        <v>72</v>
      </c>
      <c r="CM299" s="5">
        <f>CL299/CL301</f>
        <v>0.22500000000000001</v>
      </c>
      <c r="CN299" s="5">
        <f>72/$CN$3</f>
        <v>0.22500000000000001</v>
      </c>
    </row>
    <row r="300" spans="1:92" x14ac:dyDescent="0.25">
      <c r="A300" s="1" t="s">
        <v>12</v>
      </c>
      <c r="B300">
        <v>131</v>
      </c>
      <c r="C300" s="5">
        <f>B300/B301</f>
        <v>0.13100000000000001</v>
      </c>
      <c r="D300" s="5">
        <f>131/$D$3</f>
        <v>0.13100000000000001</v>
      </c>
      <c r="F300">
        <v>20</v>
      </c>
      <c r="G300" s="5">
        <f>F300/F301</f>
        <v>4.2372881355932202E-2</v>
      </c>
      <c r="H300" s="11">
        <f>20/$H$3</f>
        <v>4.2372881355932202E-2</v>
      </c>
      <c r="J300">
        <v>0</v>
      </c>
      <c r="K300" s="5">
        <f>J300/J301</f>
        <v>0</v>
      </c>
      <c r="L300" s="11">
        <f>0/$L$3</f>
        <v>0</v>
      </c>
      <c r="N300">
        <v>5</v>
      </c>
      <c r="O300" s="5">
        <f>N300/N301</f>
        <v>2.1551724137931036E-2</v>
      </c>
      <c r="P300" s="11">
        <f>5/$P$3</f>
        <v>2.1551724137931036E-2</v>
      </c>
      <c r="R300">
        <v>9</v>
      </c>
      <c r="S300" s="5">
        <f>R300/R301</f>
        <v>3.0612244897959183E-2</v>
      </c>
      <c r="T300" s="11">
        <f>9/$T$3</f>
        <v>3.0612244897959183E-2</v>
      </c>
      <c r="V300">
        <v>12</v>
      </c>
      <c r="W300" s="5">
        <f>V300/V301</f>
        <v>2.8846153846153848E-2</v>
      </c>
      <c r="X300" s="11">
        <f>12/$X$3</f>
        <v>2.8846153846153848E-2</v>
      </c>
      <c r="Z300">
        <v>11</v>
      </c>
      <c r="AA300" s="5">
        <f>Z300/Z301</f>
        <v>2.6190476190476191E-2</v>
      </c>
      <c r="AB300" s="11">
        <f>11/$AB$3</f>
        <v>2.6190476190476191E-2</v>
      </c>
      <c r="AD300">
        <v>72</v>
      </c>
      <c r="AE300" s="5">
        <f>AD300/AD301</f>
        <v>0.14399999999999999</v>
      </c>
      <c r="AF300" s="5">
        <f>72/$AF$3</f>
        <v>0.14399999999999999</v>
      </c>
      <c r="AH300">
        <v>59</v>
      </c>
      <c r="AI300" s="5">
        <f>AH300/AH301</f>
        <v>0.11799999999999999</v>
      </c>
      <c r="AJ300" s="5">
        <f>59/$AJ$3</f>
        <v>0.11799999999999999</v>
      </c>
      <c r="AL300">
        <v>19</v>
      </c>
      <c r="AM300" s="5">
        <f>AL300/AL301</f>
        <v>0.11242603550295859</v>
      </c>
      <c r="AN300" s="5">
        <f>19/$AN$3</f>
        <v>0.11242603550295859</v>
      </c>
      <c r="AP300">
        <v>39</v>
      </c>
      <c r="AQ300" s="5">
        <f>AP300/AP301</f>
        <v>0.12540192926045016</v>
      </c>
      <c r="AR300" s="5">
        <f>39/$AR$3</f>
        <v>0.12540192926045016</v>
      </c>
      <c r="AT300">
        <v>51</v>
      </c>
      <c r="AU300" s="5">
        <f>AT300/AT301</f>
        <v>0.13076923076923078</v>
      </c>
      <c r="AV300" s="5">
        <f>51/$AV$3</f>
        <v>0.13076923076923078</v>
      </c>
      <c r="AX300">
        <v>22</v>
      </c>
      <c r="AY300" s="5">
        <f>AX300/AX301</f>
        <v>0.16923076923076924</v>
      </c>
      <c r="AZ300" s="5">
        <f>22/$AZ$3</f>
        <v>0.16923076923076924</v>
      </c>
      <c r="BB300">
        <v>65</v>
      </c>
      <c r="BC300" s="5">
        <f>BB300/BB301</f>
        <v>0.16009852216748768</v>
      </c>
      <c r="BD300" s="5">
        <f>65/$BD$3</f>
        <v>0.16009852216748768</v>
      </c>
      <c r="BF300">
        <v>41</v>
      </c>
      <c r="BG300" s="5">
        <f>BF300/BF301</f>
        <v>0.11021505376344086</v>
      </c>
      <c r="BH300" s="5">
        <f>41/$BH$3</f>
        <v>0.11021505376344086</v>
      </c>
      <c r="BJ300">
        <v>25</v>
      </c>
      <c r="BK300" s="5">
        <f>BJ300/BJ301</f>
        <v>0.11261261261261261</v>
      </c>
      <c r="BL300" s="5">
        <f>25/$BL$3</f>
        <v>0.11261261261261261</v>
      </c>
      <c r="BN300">
        <v>64</v>
      </c>
      <c r="BO300" s="5">
        <f>BN300/BN301</f>
        <v>0.16842105263157894</v>
      </c>
      <c r="BP300" s="5">
        <f>64/$BP$3</f>
        <v>0.16842105263157894</v>
      </c>
      <c r="BR300">
        <v>40</v>
      </c>
      <c r="BS300" s="5">
        <f>BR300/BR301</f>
        <v>0.10810810810810811</v>
      </c>
      <c r="BT300" s="5">
        <f>40/$BT$3</f>
        <v>0.10810810810810811</v>
      </c>
      <c r="BV300">
        <v>27</v>
      </c>
      <c r="BW300" s="5">
        <f>BV300/BV301</f>
        <v>0.108</v>
      </c>
      <c r="BX300" s="5">
        <f>27/$BX$3</f>
        <v>0.108</v>
      </c>
      <c r="BZ300">
        <v>29</v>
      </c>
      <c r="CA300" s="5">
        <f>BZ300/BZ301</f>
        <v>0.11600000000000001</v>
      </c>
      <c r="CB300" s="5">
        <f>29/$CB$3</f>
        <v>0.11600000000000001</v>
      </c>
      <c r="CD300">
        <v>31</v>
      </c>
      <c r="CE300" s="5">
        <f>CD300/CD301</f>
        <v>0.14761904761904762</v>
      </c>
      <c r="CF300" s="5">
        <f>31/$CF$3</f>
        <v>0.14761904761904762</v>
      </c>
      <c r="CH300">
        <v>25</v>
      </c>
      <c r="CI300" s="5">
        <f>CH300/CH301</f>
        <v>0.11363636363636363</v>
      </c>
      <c r="CJ300" s="5">
        <f>25/$CJ$3</f>
        <v>0.11363636363636363</v>
      </c>
      <c r="CL300">
        <v>46</v>
      </c>
      <c r="CM300" s="5">
        <f>CL300/CL301</f>
        <v>0.14374999999999999</v>
      </c>
      <c r="CN300" s="5">
        <f>46/$CN$3</f>
        <v>0.14374999999999999</v>
      </c>
    </row>
    <row r="301" spans="1:92" s="6" customFormat="1" x14ac:dyDescent="0.25">
      <c r="A301" s="7" t="s">
        <v>13</v>
      </c>
      <c r="B301" s="6">
        <v>1000</v>
      </c>
      <c r="F301" s="6">
        <v>472</v>
      </c>
      <c r="J301" s="6">
        <v>285</v>
      </c>
      <c r="N301" s="6">
        <v>232</v>
      </c>
      <c r="R301" s="6">
        <v>294</v>
      </c>
      <c r="V301" s="6">
        <v>416</v>
      </c>
      <c r="Z301" s="6">
        <v>420</v>
      </c>
      <c r="AD301" s="6">
        <v>500</v>
      </c>
      <c r="AH301" s="6">
        <v>500</v>
      </c>
      <c r="AL301" s="6">
        <v>169</v>
      </c>
      <c r="AP301" s="6">
        <v>311</v>
      </c>
      <c r="AT301" s="6">
        <v>390</v>
      </c>
      <c r="AX301" s="6">
        <v>130</v>
      </c>
      <c r="BB301" s="6">
        <v>406</v>
      </c>
      <c r="BF301" s="6">
        <v>372</v>
      </c>
      <c r="BJ301" s="6">
        <v>222</v>
      </c>
      <c r="BN301" s="6">
        <v>380</v>
      </c>
      <c r="BR301" s="6">
        <v>370</v>
      </c>
      <c r="BV301" s="6">
        <v>250</v>
      </c>
      <c r="BZ301" s="6">
        <v>250</v>
      </c>
      <c r="CD301" s="6">
        <v>210</v>
      </c>
      <c r="CH301" s="6">
        <v>220</v>
      </c>
      <c r="CL301" s="6">
        <v>320</v>
      </c>
    </row>
    <row r="302" spans="1:92" hidden="1" x14ac:dyDescent="0.25">
      <c r="A302" s="8" t="s">
        <v>14</v>
      </c>
      <c r="B302">
        <v>0</v>
      </c>
      <c r="F302">
        <v>0</v>
      </c>
      <c r="J302">
        <v>0</v>
      </c>
      <c r="N302">
        <v>0</v>
      </c>
      <c r="R302">
        <v>0</v>
      </c>
      <c r="V302">
        <v>0</v>
      </c>
      <c r="Z302">
        <v>0</v>
      </c>
      <c r="AD302">
        <v>0</v>
      </c>
      <c r="AH302">
        <v>0</v>
      </c>
      <c r="AL302">
        <v>0</v>
      </c>
      <c r="AP302">
        <v>0</v>
      </c>
      <c r="AT302">
        <v>0</v>
      </c>
      <c r="AX302">
        <v>0</v>
      </c>
      <c r="BB302">
        <v>0</v>
      </c>
      <c r="BF302">
        <v>0</v>
      </c>
      <c r="BJ302">
        <v>0</v>
      </c>
      <c r="BN302">
        <v>0</v>
      </c>
      <c r="BR302">
        <v>0</v>
      </c>
      <c r="BV302">
        <v>0</v>
      </c>
      <c r="BZ302">
        <v>0</v>
      </c>
      <c r="CD302">
        <v>0</v>
      </c>
      <c r="CH302">
        <v>0</v>
      </c>
      <c r="CL302">
        <v>0</v>
      </c>
    </row>
    <row r="303" spans="1:92" hidden="1" x14ac:dyDescent="0.25">
      <c r="A303" s="8" t="s">
        <v>15</v>
      </c>
      <c r="B303">
        <v>0</v>
      </c>
      <c r="F303">
        <v>0</v>
      </c>
      <c r="J303">
        <v>0</v>
      </c>
      <c r="N303">
        <v>0</v>
      </c>
      <c r="R303">
        <v>0</v>
      </c>
      <c r="V303">
        <v>0</v>
      </c>
      <c r="Z303">
        <v>0</v>
      </c>
      <c r="AD303">
        <v>0</v>
      </c>
      <c r="AH303">
        <v>0</v>
      </c>
      <c r="AL303">
        <v>0</v>
      </c>
      <c r="AP303">
        <v>0</v>
      </c>
      <c r="AT303">
        <v>0</v>
      </c>
      <c r="AX303">
        <v>0</v>
      </c>
      <c r="BB303">
        <v>0</v>
      </c>
      <c r="BF303">
        <v>0</v>
      </c>
      <c r="BJ303">
        <v>0</v>
      </c>
      <c r="BN303">
        <v>0</v>
      </c>
      <c r="BR303">
        <v>0</v>
      </c>
      <c r="BV303">
        <v>0</v>
      </c>
      <c r="BZ303">
        <v>0</v>
      </c>
      <c r="CD303">
        <v>0</v>
      </c>
      <c r="CH303">
        <v>0</v>
      </c>
      <c r="CL303">
        <v>0</v>
      </c>
    </row>
    <row r="305" spans="1:92" x14ac:dyDescent="0.25">
      <c r="AN305" s="2" t="s">
        <v>5</v>
      </c>
      <c r="AR305" s="2" t="s">
        <v>6</v>
      </c>
      <c r="AV305" s="2" t="s">
        <v>7</v>
      </c>
      <c r="AZ305" s="2" t="s">
        <v>8</v>
      </c>
      <c r="BD305" s="2" t="s">
        <v>5</v>
      </c>
      <c r="BH305" s="2" t="s">
        <v>6</v>
      </c>
      <c r="BL305" s="2" t="s">
        <v>7</v>
      </c>
      <c r="BP305" s="2" t="s">
        <v>5</v>
      </c>
      <c r="BT305" s="2" t="s">
        <v>6</v>
      </c>
      <c r="BX305" s="2" t="s">
        <v>7</v>
      </c>
      <c r="CB305" s="2" t="s">
        <v>5</v>
      </c>
      <c r="CF305" s="2" t="s">
        <v>6</v>
      </c>
      <c r="CJ305" s="2" t="s">
        <v>7</v>
      </c>
      <c r="CN305" s="2" t="s">
        <v>8</v>
      </c>
    </row>
    <row r="306" spans="1:92" s="3" customFormat="1" x14ac:dyDescent="0.25">
      <c r="A306" s="3" t="s">
        <v>2163</v>
      </c>
      <c r="D306" s="4" t="s">
        <v>10</v>
      </c>
      <c r="H306" s="4" t="s">
        <v>10</v>
      </c>
      <c r="L306" s="4" t="s">
        <v>10</v>
      </c>
      <c r="P306" s="4" t="s">
        <v>10</v>
      </c>
      <c r="T306" s="4" t="s">
        <v>10</v>
      </c>
      <c r="X306" s="4" t="s">
        <v>10</v>
      </c>
      <c r="AB306" s="4" t="s">
        <v>10</v>
      </c>
      <c r="AF306" s="4" t="s">
        <v>10</v>
      </c>
      <c r="AJ306" s="4" t="s">
        <v>10</v>
      </c>
      <c r="AN306" s="4" t="s">
        <v>10</v>
      </c>
      <c r="AR306" s="4" t="s">
        <v>10</v>
      </c>
      <c r="AV306" s="4" t="s">
        <v>10</v>
      </c>
      <c r="AZ306" s="4" t="s">
        <v>10</v>
      </c>
      <c r="BD306" s="4" t="s">
        <v>10</v>
      </c>
      <c r="BH306" s="4" t="s">
        <v>10</v>
      </c>
      <c r="BL306" s="4" t="s">
        <v>10</v>
      </c>
      <c r="BP306" s="4" t="s">
        <v>10</v>
      </c>
      <c r="BT306" s="4" t="s">
        <v>10</v>
      </c>
      <c r="BX306" s="4" t="s">
        <v>10</v>
      </c>
      <c r="CB306" s="4" t="s">
        <v>10</v>
      </c>
      <c r="CF306" s="4" t="s">
        <v>10</v>
      </c>
      <c r="CJ306" s="4" t="s">
        <v>10</v>
      </c>
      <c r="CN306" s="4" t="s">
        <v>10</v>
      </c>
    </row>
    <row r="307" spans="1:92" x14ac:dyDescent="0.25">
      <c r="A307" s="1" t="s">
        <v>2158</v>
      </c>
      <c r="B307">
        <v>45</v>
      </c>
      <c r="C307" s="5">
        <f>B307/B314</f>
        <v>5.1843317972350228E-2</v>
      </c>
      <c r="D307" s="5">
        <f>45/$D$3</f>
        <v>4.4999999999999998E-2</v>
      </c>
      <c r="F307">
        <v>33</v>
      </c>
      <c r="G307" s="5">
        <f>F307/F314</f>
        <v>7.3170731707317069E-2</v>
      </c>
      <c r="H307" s="5">
        <f>33/$H$3</f>
        <v>6.991525423728813E-2</v>
      </c>
      <c r="J307">
        <v>45</v>
      </c>
      <c r="K307" s="5">
        <f>J307/J314</f>
        <v>0.15845070422535212</v>
      </c>
      <c r="L307" s="5">
        <f>45/$L$3</f>
        <v>0.15789473684210525</v>
      </c>
      <c r="N307">
        <v>19</v>
      </c>
      <c r="O307" s="5">
        <f>N307/N314</f>
        <v>8.4070796460176997E-2</v>
      </c>
      <c r="P307" s="5">
        <f>19/$P$3</f>
        <v>8.1896551724137928E-2</v>
      </c>
      <c r="R307">
        <v>30</v>
      </c>
      <c r="S307" s="5">
        <f>R307/R314</f>
        <v>0.10526315789473684</v>
      </c>
      <c r="T307" s="5">
        <f>30/$T$3</f>
        <v>0.10204081632653061</v>
      </c>
      <c r="V307">
        <v>32</v>
      </c>
      <c r="W307" s="5">
        <f>V307/V314</f>
        <v>7.9404466501240695E-2</v>
      </c>
      <c r="X307" s="5">
        <f>32/$X$3</f>
        <v>7.6923076923076927E-2</v>
      </c>
      <c r="Z307">
        <v>32</v>
      </c>
      <c r="AA307" s="5">
        <f>Z307/Z314</f>
        <v>7.8431372549019607E-2</v>
      </c>
      <c r="AB307" s="5">
        <f>32/$AB$3</f>
        <v>7.6190476190476197E-2</v>
      </c>
      <c r="AD307">
        <v>22</v>
      </c>
      <c r="AE307" s="5">
        <f>AD307/AD314</f>
        <v>5.1522248243559721E-2</v>
      </c>
      <c r="AF307" s="5">
        <f>22/$AF$3</f>
        <v>4.3999999999999997E-2</v>
      </c>
      <c r="AH307">
        <v>23</v>
      </c>
      <c r="AI307" s="5">
        <f>AH307/AH314</f>
        <v>5.2154195011337869E-2</v>
      </c>
      <c r="AJ307" s="5">
        <f>23/$AJ$3</f>
        <v>4.5999999999999999E-2</v>
      </c>
      <c r="AL307">
        <v>10</v>
      </c>
      <c r="AM307" s="5">
        <f>AL307/AL314</f>
        <v>6.6666666666666666E-2</v>
      </c>
      <c r="AN307" s="5">
        <f>10/$AN$3</f>
        <v>5.9171597633136092E-2</v>
      </c>
      <c r="AP307">
        <v>17</v>
      </c>
      <c r="AQ307" s="5">
        <f>AP307/AP314</f>
        <v>6.25E-2</v>
      </c>
      <c r="AR307" s="5">
        <f>17/$AR$3</f>
        <v>5.4662379421221867E-2</v>
      </c>
      <c r="AT307">
        <v>16</v>
      </c>
      <c r="AU307" s="5">
        <f>AT307/AT314</f>
        <v>4.71976401179941E-2</v>
      </c>
      <c r="AV307" s="5">
        <f>16/$AV$3</f>
        <v>4.1025641025641026E-2</v>
      </c>
      <c r="AX307">
        <v>2</v>
      </c>
      <c r="AY307" s="5">
        <f>AX307/AX314</f>
        <v>1.8691588785046728E-2</v>
      </c>
      <c r="AZ307" s="5">
        <f>2/$AZ$3</f>
        <v>1.5384615384615385E-2</v>
      </c>
      <c r="BB307">
        <v>9</v>
      </c>
      <c r="BC307" s="5">
        <f>BB307/BB314</f>
        <v>2.6392961876832845E-2</v>
      </c>
      <c r="BD307" s="5">
        <f>9/$BD$3</f>
        <v>2.2167487684729065E-2</v>
      </c>
      <c r="BF307">
        <v>18</v>
      </c>
      <c r="BG307" s="5">
        <f>BF307/BF314</f>
        <v>5.4380664652567974E-2</v>
      </c>
      <c r="BH307" s="5">
        <f>18/$BH$3</f>
        <v>4.8387096774193547E-2</v>
      </c>
      <c r="BJ307">
        <v>18</v>
      </c>
      <c r="BK307" s="5">
        <f>BJ307/BJ314</f>
        <v>9.1836734693877556E-2</v>
      </c>
      <c r="BL307" s="5">
        <f>18/$BL$3</f>
        <v>8.1081081081081086E-2</v>
      </c>
      <c r="BM307" s="12"/>
      <c r="BN307">
        <v>19</v>
      </c>
      <c r="BO307" s="5">
        <f>BN307/BN314</f>
        <v>6.0126582278481014E-2</v>
      </c>
      <c r="BP307" s="5">
        <f>19/$BP$3</f>
        <v>0.05</v>
      </c>
      <c r="BR307">
        <v>15</v>
      </c>
      <c r="BS307" s="5">
        <f>BR307/BR314</f>
        <v>4.5454545454545456E-2</v>
      </c>
      <c r="BT307" s="5">
        <f>15/$BT$3</f>
        <v>4.0540540540540543E-2</v>
      </c>
      <c r="BV307">
        <v>11</v>
      </c>
      <c r="BW307" s="5">
        <f>BV307/BV314</f>
        <v>4.954954954954955E-2</v>
      </c>
      <c r="BX307" s="5">
        <f>11/$BX$3</f>
        <v>4.3999999999999997E-2</v>
      </c>
      <c r="BZ307">
        <v>12</v>
      </c>
      <c r="CA307" s="5">
        <f>BZ307/BZ314</f>
        <v>5.4298642533936653E-2</v>
      </c>
      <c r="CB307" s="5">
        <f>12/$CB$3</f>
        <v>4.8000000000000001E-2</v>
      </c>
      <c r="CD307">
        <v>7</v>
      </c>
      <c r="CE307" s="5">
        <f>CD307/CD314</f>
        <v>3.9106145251396648E-2</v>
      </c>
      <c r="CF307" s="5">
        <f>7/$CF$3</f>
        <v>3.3333333333333333E-2</v>
      </c>
      <c r="CH307">
        <v>9</v>
      </c>
      <c r="CI307" s="5">
        <f>CH307/CH314</f>
        <v>4.6391752577319589E-2</v>
      </c>
      <c r="CJ307" s="5">
        <f>9/$CJ$3</f>
        <v>4.0909090909090909E-2</v>
      </c>
      <c r="CL307">
        <v>17</v>
      </c>
      <c r="CM307" s="5">
        <f>CL307/CL314</f>
        <v>6.2043795620437957E-2</v>
      </c>
      <c r="CN307" s="5">
        <f>17/$CN$3</f>
        <v>5.3124999999999999E-2</v>
      </c>
    </row>
    <row r="308" spans="1:92" x14ac:dyDescent="0.25">
      <c r="A308" s="1" t="s">
        <v>1065</v>
      </c>
      <c r="B308">
        <v>407</v>
      </c>
      <c r="C308" s="5">
        <f>B308/B314</f>
        <v>0.46889400921658986</v>
      </c>
      <c r="D308" s="5">
        <f>407/$D$3</f>
        <v>0.40699999999999997</v>
      </c>
      <c r="F308">
        <v>296</v>
      </c>
      <c r="G308" s="5">
        <f>F308/F314</f>
        <v>0.65631929046563198</v>
      </c>
      <c r="H308" s="10">
        <f>296/$H$3</f>
        <v>0.6271186440677966</v>
      </c>
      <c r="J308">
        <v>137</v>
      </c>
      <c r="K308" s="5">
        <f>J308/J314</f>
        <v>0.48239436619718312</v>
      </c>
      <c r="L308" s="10">
        <f>137/$L$3</f>
        <v>0.48070175438596491</v>
      </c>
      <c r="N308">
        <v>155</v>
      </c>
      <c r="O308" s="5">
        <f>N308/N314</f>
        <v>0.68584070796460173</v>
      </c>
      <c r="P308" s="10">
        <f>155/$P$3</f>
        <v>0.6681034482758621</v>
      </c>
      <c r="R308">
        <v>191</v>
      </c>
      <c r="S308" s="5">
        <f>R308/R314</f>
        <v>0.6701754385964912</v>
      </c>
      <c r="T308" s="10">
        <f>191/$T$3</f>
        <v>0.64965986394557829</v>
      </c>
      <c r="V308">
        <v>269</v>
      </c>
      <c r="W308" s="5">
        <f>V308/V314</f>
        <v>0.66749379652605456</v>
      </c>
      <c r="X308" s="10">
        <f>269/$X$3</f>
        <v>0.64663461538461542</v>
      </c>
      <c r="Z308">
        <v>268</v>
      </c>
      <c r="AA308" s="5">
        <f>Z308/Z314</f>
        <v>0.65686274509803921</v>
      </c>
      <c r="AB308" s="10">
        <f>268/$AB$3</f>
        <v>0.63809523809523805</v>
      </c>
      <c r="AD308">
        <v>189</v>
      </c>
      <c r="AE308" s="5">
        <f>AD308/AD314</f>
        <v>0.44262295081967212</v>
      </c>
      <c r="AF308" s="5">
        <f>189/$AF$3</f>
        <v>0.378</v>
      </c>
      <c r="AH308">
        <v>218</v>
      </c>
      <c r="AI308" s="5">
        <f>AH308/AH314</f>
        <v>0.4943310657596372</v>
      </c>
      <c r="AJ308" s="5">
        <f>218/$AJ$3</f>
        <v>0.436</v>
      </c>
      <c r="AL308">
        <v>96</v>
      </c>
      <c r="AM308" s="5">
        <f>AL308/AL314</f>
        <v>0.64</v>
      </c>
      <c r="AN308" s="10">
        <f>96/$AN$3</f>
        <v>0.56804733727810652</v>
      </c>
      <c r="AO308" s="12"/>
      <c r="AP308">
        <v>138</v>
      </c>
      <c r="AQ308" s="5">
        <f>AP308/AP314</f>
        <v>0.50735294117647056</v>
      </c>
      <c r="AR308" s="5">
        <f>138/$AR$3</f>
        <v>0.4437299035369775</v>
      </c>
      <c r="AS308" s="12"/>
      <c r="AT308">
        <v>144</v>
      </c>
      <c r="AU308" s="5">
        <f>AT308/AT314</f>
        <v>0.4247787610619469</v>
      </c>
      <c r="AV308" s="5">
        <f>144/$AV$3</f>
        <v>0.36923076923076925</v>
      </c>
      <c r="AW308" s="12"/>
      <c r="AX308">
        <v>29</v>
      </c>
      <c r="AY308" s="5">
        <f>AX308/AX314</f>
        <v>0.27102803738317754</v>
      </c>
      <c r="AZ308" s="11">
        <f>29/$AZ$3</f>
        <v>0.22307692307692309</v>
      </c>
      <c r="BB308">
        <v>156</v>
      </c>
      <c r="BC308" s="5">
        <f>BB308/BB314</f>
        <v>0.45747800586510262</v>
      </c>
      <c r="BD308" s="5">
        <f>156/$BD$3</f>
        <v>0.38423645320197042</v>
      </c>
      <c r="BF308">
        <v>144</v>
      </c>
      <c r="BG308" s="5">
        <f>BF308/BF314</f>
        <v>0.43504531722054379</v>
      </c>
      <c r="BH308" s="5">
        <f>144/$BH$3</f>
        <v>0.38709677419354838</v>
      </c>
      <c r="BJ308">
        <v>107</v>
      </c>
      <c r="BK308" s="5">
        <f>BJ308/BJ314</f>
        <v>0.54591836734693877</v>
      </c>
      <c r="BL308" s="10">
        <f>107/$BL$3</f>
        <v>0.481981981981982</v>
      </c>
      <c r="BN308">
        <v>141</v>
      </c>
      <c r="BO308" s="5">
        <f>BN308/BN314</f>
        <v>0.44620253164556961</v>
      </c>
      <c r="BP308" s="5">
        <f>141/$BP$3</f>
        <v>0.37105263157894736</v>
      </c>
      <c r="BR308">
        <v>152</v>
      </c>
      <c r="BS308" s="5">
        <f>BR308/BR314</f>
        <v>0.46060606060606063</v>
      </c>
      <c r="BT308" s="5">
        <f>152/$BT$3</f>
        <v>0.41081081081081083</v>
      </c>
      <c r="BV308">
        <v>114</v>
      </c>
      <c r="BW308" s="5">
        <f>BV308/BV314</f>
        <v>0.51351351351351349</v>
      </c>
      <c r="BX308" s="5">
        <f>114/$BX$3</f>
        <v>0.45600000000000002</v>
      </c>
      <c r="BZ308">
        <v>106</v>
      </c>
      <c r="CA308" s="5">
        <f>BZ308/BZ314</f>
        <v>0.47963800904977377</v>
      </c>
      <c r="CB308" s="5">
        <f>106/$CB$3</f>
        <v>0.42399999999999999</v>
      </c>
      <c r="CD308">
        <v>81</v>
      </c>
      <c r="CE308" s="5">
        <f>CD308/CD314</f>
        <v>0.45251396648044695</v>
      </c>
      <c r="CF308" s="5">
        <f>81/$CF$3</f>
        <v>0.38571428571428573</v>
      </c>
      <c r="CH308">
        <v>87</v>
      </c>
      <c r="CI308" s="5">
        <f>CH308/CH314</f>
        <v>0.4484536082474227</v>
      </c>
      <c r="CJ308" s="5">
        <f>87/$CJ$3</f>
        <v>0.39545454545454545</v>
      </c>
      <c r="CL308">
        <v>133</v>
      </c>
      <c r="CM308" s="5">
        <f>CL308/CL314</f>
        <v>0.48540145985401462</v>
      </c>
      <c r="CN308" s="5">
        <f>133/$CN$3</f>
        <v>0.41562500000000002</v>
      </c>
    </row>
    <row r="309" spans="1:92" x14ac:dyDescent="0.25">
      <c r="A309" s="1" t="s">
        <v>2159</v>
      </c>
      <c r="B309">
        <v>5</v>
      </c>
      <c r="C309" s="5">
        <f>B309/B314</f>
        <v>5.7603686635944703E-3</v>
      </c>
      <c r="D309" s="5">
        <f>5/$D$3</f>
        <v>5.0000000000000001E-3</v>
      </c>
      <c r="F309">
        <v>5</v>
      </c>
      <c r="G309" s="5">
        <f>F309/F314</f>
        <v>1.1086474501108648E-2</v>
      </c>
      <c r="H309" s="5">
        <f>5/$H$3</f>
        <v>1.059322033898305E-2</v>
      </c>
      <c r="J309">
        <v>4</v>
      </c>
      <c r="K309" s="5">
        <f>J309/J314</f>
        <v>1.4084507042253521E-2</v>
      </c>
      <c r="L309" s="5">
        <f>4/$L$3</f>
        <v>1.4035087719298246E-2</v>
      </c>
      <c r="N309">
        <v>5</v>
      </c>
      <c r="O309" s="5">
        <f>N309/N314</f>
        <v>2.2123893805309734E-2</v>
      </c>
      <c r="P309" s="5">
        <f>5/$P$3</f>
        <v>2.1551724137931036E-2</v>
      </c>
      <c r="R309">
        <v>4</v>
      </c>
      <c r="S309" s="5">
        <f>R309/R314</f>
        <v>1.4035087719298246E-2</v>
      </c>
      <c r="T309" s="5">
        <f>4/$T$3</f>
        <v>1.3605442176870748E-2</v>
      </c>
      <c r="V309">
        <v>5</v>
      </c>
      <c r="W309" s="5">
        <f>V309/V314</f>
        <v>1.2406947890818859E-2</v>
      </c>
      <c r="X309" s="5">
        <f>5/$X$3</f>
        <v>1.201923076923077E-2</v>
      </c>
      <c r="Z309">
        <v>5</v>
      </c>
      <c r="AA309" s="5">
        <f>Z309/Z314</f>
        <v>1.2254901960784314E-2</v>
      </c>
      <c r="AB309" s="5">
        <f>5/$AB$3</f>
        <v>1.1904761904761904E-2</v>
      </c>
      <c r="AD309">
        <v>4</v>
      </c>
      <c r="AE309" s="5">
        <f>AD309/AD314</f>
        <v>9.3676814988290398E-3</v>
      </c>
      <c r="AF309" s="5">
        <f>4/$AF$3</f>
        <v>8.0000000000000002E-3</v>
      </c>
      <c r="AH309">
        <v>1</v>
      </c>
      <c r="AI309" s="5">
        <f>AH309/AH314</f>
        <v>2.2675736961451248E-3</v>
      </c>
      <c r="AJ309" s="5">
        <f>1/$AJ$3</f>
        <v>2E-3</v>
      </c>
      <c r="AL309">
        <v>0</v>
      </c>
      <c r="AM309" s="5">
        <f>AL309/AL314</f>
        <v>0</v>
      </c>
      <c r="AN309" s="5">
        <f>0/$AN$3</f>
        <v>0</v>
      </c>
      <c r="AP309">
        <v>3</v>
      </c>
      <c r="AQ309" s="5">
        <f>AP309/AP314</f>
        <v>1.1029411764705883E-2</v>
      </c>
      <c r="AR309" s="5">
        <f>3/$AR$3</f>
        <v>9.6463022508038593E-3</v>
      </c>
      <c r="AT309">
        <v>2</v>
      </c>
      <c r="AU309" s="5">
        <f>AT309/AT314</f>
        <v>5.8997050147492625E-3</v>
      </c>
      <c r="AV309" s="5">
        <f>2/$AV$3</f>
        <v>5.1282051282051282E-3</v>
      </c>
      <c r="AX309">
        <v>0</v>
      </c>
      <c r="AY309" s="5">
        <f>AX309/AX314</f>
        <v>0</v>
      </c>
      <c r="AZ309" s="5">
        <f>0/$AZ$3</f>
        <v>0</v>
      </c>
      <c r="BB309">
        <v>1</v>
      </c>
      <c r="BC309" s="5">
        <f>BB309/BB314</f>
        <v>2.9325513196480938E-3</v>
      </c>
      <c r="BD309" s="5">
        <f>1/$BD$3</f>
        <v>2.4630541871921183E-3</v>
      </c>
      <c r="BF309">
        <v>2</v>
      </c>
      <c r="BG309" s="5">
        <f>BF309/BF314</f>
        <v>6.0422960725075529E-3</v>
      </c>
      <c r="BH309" s="5">
        <f>2/$BH$3</f>
        <v>5.3763440860215058E-3</v>
      </c>
      <c r="BJ309">
        <v>2</v>
      </c>
      <c r="BK309" s="5">
        <f>BJ309/BJ314</f>
        <v>1.020408163265306E-2</v>
      </c>
      <c r="BL309" s="5">
        <f>2/$BL$3</f>
        <v>9.0090090090090089E-3</v>
      </c>
      <c r="BN309">
        <v>1</v>
      </c>
      <c r="BO309" s="5">
        <f>BN309/BN314</f>
        <v>3.1645569620253164E-3</v>
      </c>
      <c r="BP309" s="5">
        <f>1/$BP$3</f>
        <v>2.631578947368421E-3</v>
      </c>
      <c r="BR309">
        <v>2</v>
      </c>
      <c r="BS309" s="5">
        <f>BR309/BR314</f>
        <v>6.0606060606060606E-3</v>
      </c>
      <c r="BT309" s="5">
        <f>2/$BT$3</f>
        <v>5.4054054054054057E-3</v>
      </c>
      <c r="BV309">
        <v>2</v>
      </c>
      <c r="BW309" s="5">
        <f>BV309/BV314</f>
        <v>9.0090090090090089E-3</v>
      </c>
      <c r="BX309" s="5">
        <f>2/$BX$3</f>
        <v>8.0000000000000002E-3</v>
      </c>
      <c r="BZ309">
        <v>0</v>
      </c>
      <c r="CA309" s="5">
        <f>BZ309/BZ314</f>
        <v>0</v>
      </c>
      <c r="CB309" s="5">
        <f>0/$CB$3</f>
        <v>0</v>
      </c>
      <c r="CD309">
        <v>0</v>
      </c>
      <c r="CE309" s="5">
        <f>CD309/CD314</f>
        <v>0</v>
      </c>
      <c r="CF309" s="5">
        <f>0/$CF$3</f>
        <v>0</v>
      </c>
      <c r="CH309">
        <v>4</v>
      </c>
      <c r="CI309" s="5">
        <f>CH309/CH314</f>
        <v>2.0618556701030927E-2</v>
      </c>
      <c r="CJ309" s="5">
        <f>4/$CJ$3</f>
        <v>1.8181818181818181E-2</v>
      </c>
      <c r="CL309">
        <v>1</v>
      </c>
      <c r="CM309" s="5">
        <f>CL309/CL314</f>
        <v>3.6496350364963502E-3</v>
      </c>
      <c r="CN309" s="5">
        <f>1/$CN$3</f>
        <v>3.1250000000000002E-3</v>
      </c>
    </row>
    <row r="310" spans="1:92" x14ac:dyDescent="0.25">
      <c r="A310" s="1" t="s">
        <v>2160</v>
      </c>
      <c r="B310">
        <v>94</v>
      </c>
      <c r="C310" s="5">
        <f>B310/B314</f>
        <v>0.10829493087557604</v>
      </c>
      <c r="D310" s="5">
        <f>94/$D$3</f>
        <v>9.4E-2</v>
      </c>
      <c r="F310">
        <v>50</v>
      </c>
      <c r="G310" s="5">
        <f>F310/F314</f>
        <v>0.11086474501108648</v>
      </c>
      <c r="H310" s="5">
        <f>50/$H$3</f>
        <v>0.1059322033898305</v>
      </c>
      <c r="J310">
        <v>36</v>
      </c>
      <c r="K310" s="5">
        <f>J310/J314</f>
        <v>0.12676056338028169</v>
      </c>
      <c r="L310" s="5">
        <f>36/$L$3</f>
        <v>0.12631578947368421</v>
      </c>
      <c r="N310">
        <v>30</v>
      </c>
      <c r="O310" s="5">
        <f>N310/N314</f>
        <v>0.13274336283185842</v>
      </c>
      <c r="P310" s="5">
        <f>30/$P$3</f>
        <v>0.12931034482758622</v>
      </c>
      <c r="R310">
        <v>37</v>
      </c>
      <c r="S310" s="5">
        <f>R310/R314</f>
        <v>0.12982456140350876</v>
      </c>
      <c r="T310" s="5">
        <f>37/$T$3</f>
        <v>0.12585034013605442</v>
      </c>
      <c r="V310">
        <v>45</v>
      </c>
      <c r="W310" s="5">
        <f>V310/V314</f>
        <v>0.11166253101736973</v>
      </c>
      <c r="X310" s="5">
        <f>45/$X$3</f>
        <v>0.10817307692307693</v>
      </c>
      <c r="Z310">
        <v>46</v>
      </c>
      <c r="AA310" s="5">
        <f>Z310/Z314</f>
        <v>0.11274509803921569</v>
      </c>
      <c r="AB310" s="5">
        <f>46/$AB$3</f>
        <v>0.10952380952380952</v>
      </c>
      <c r="AD310">
        <v>46</v>
      </c>
      <c r="AE310" s="5">
        <f>AD310/AD314</f>
        <v>0.10772833723653395</v>
      </c>
      <c r="AF310" s="5">
        <f>46/$AF$3</f>
        <v>9.1999999999999998E-2</v>
      </c>
      <c r="AH310">
        <v>48</v>
      </c>
      <c r="AI310" s="5">
        <f>AH310/AH314</f>
        <v>0.10884353741496598</v>
      </c>
      <c r="AJ310" s="5">
        <f>48/$AJ$3</f>
        <v>9.6000000000000002E-2</v>
      </c>
      <c r="AL310">
        <v>8</v>
      </c>
      <c r="AM310" s="5">
        <f>AL310/AL314</f>
        <v>5.3333333333333337E-2</v>
      </c>
      <c r="AN310" s="5">
        <f>8/$AN$3</f>
        <v>4.7337278106508875E-2</v>
      </c>
      <c r="AP310">
        <v>27</v>
      </c>
      <c r="AQ310" s="5">
        <f>AP310/AP314</f>
        <v>9.9264705882352935E-2</v>
      </c>
      <c r="AR310" s="5">
        <f>27/$AR$3</f>
        <v>8.6816720257234734E-2</v>
      </c>
      <c r="AT310">
        <v>43</v>
      </c>
      <c r="AU310" s="5">
        <f>AT310/AT314</f>
        <v>0.12684365781710916</v>
      </c>
      <c r="AV310" s="5">
        <f>43/$AV$3</f>
        <v>0.11025641025641025</v>
      </c>
      <c r="AX310">
        <v>16</v>
      </c>
      <c r="AY310" s="5">
        <f>AX310/AX314</f>
        <v>0.14953271028037382</v>
      </c>
      <c r="AZ310" s="5">
        <f>16/$AZ$3</f>
        <v>0.12307692307692308</v>
      </c>
      <c r="BB310">
        <v>32</v>
      </c>
      <c r="BC310" s="5">
        <f>BB310/BB314</f>
        <v>9.3841642228739003E-2</v>
      </c>
      <c r="BD310" s="5">
        <f>32/$BD$3</f>
        <v>7.8817733990147784E-2</v>
      </c>
      <c r="BF310">
        <v>44</v>
      </c>
      <c r="BG310" s="5">
        <f>BF310/BF314</f>
        <v>0.13293051359516617</v>
      </c>
      <c r="BH310" s="5">
        <f>44/$BH$3</f>
        <v>0.11827956989247312</v>
      </c>
      <c r="BJ310">
        <v>18</v>
      </c>
      <c r="BK310" s="5">
        <f>BJ310/BJ314</f>
        <v>9.1836734693877556E-2</v>
      </c>
      <c r="BL310" s="5">
        <f>18/$BL$3</f>
        <v>8.1081081081081086E-2</v>
      </c>
      <c r="BN310">
        <v>33</v>
      </c>
      <c r="BO310" s="5">
        <f>BN310/BN314</f>
        <v>0.10443037974683544</v>
      </c>
      <c r="BP310" s="5">
        <f>33/$BP$3</f>
        <v>8.6842105263157901E-2</v>
      </c>
      <c r="BR310">
        <v>41</v>
      </c>
      <c r="BS310" s="5">
        <f>BR310/BR314</f>
        <v>0.12424242424242424</v>
      </c>
      <c r="BT310" s="5">
        <f>41/$BT$3</f>
        <v>0.11081081081081082</v>
      </c>
      <c r="BV310">
        <v>20</v>
      </c>
      <c r="BW310" s="5">
        <f>BV310/BV314</f>
        <v>9.0090090090090086E-2</v>
      </c>
      <c r="BX310" s="5">
        <f>20/$BX$3</f>
        <v>0.08</v>
      </c>
      <c r="BZ310">
        <v>31</v>
      </c>
      <c r="CA310" s="5">
        <f>BZ310/BZ314</f>
        <v>0.14027149321266968</v>
      </c>
      <c r="CB310" s="5">
        <f>31/$CB$3</f>
        <v>0.124</v>
      </c>
      <c r="CD310">
        <v>20</v>
      </c>
      <c r="CE310" s="5">
        <f>CD310/CD314</f>
        <v>0.11173184357541899</v>
      </c>
      <c r="CF310" s="5">
        <f>20/$CF$3</f>
        <v>9.5238095238095233E-2</v>
      </c>
      <c r="CH310">
        <v>25</v>
      </c>
      <c r="CI310" s="5">
        <f>CH310/CH314</f>
        <v>0.12886597938144329</v>
      </c>
      <c r="CJ310" s="5">
        <f>25/$CJ$3</f>
        <v>0.11363636363636363</v>
      </c>
      <c r="CL310">
        <v>18</v>
      </c>
      <c r="CM310" s="5">
        <f>CL310/CL314</f>
        <v>6.569343065693431E-2</v>
      </c>
      <c r="CN310" s="5">
        <f>18/$CN$3</f>
        <v>5.6250000000000001E-2</v>
      </c>
    </row>
    <row r="311" spans="1:92" x14ac:dyDescent="0.25">
      <c r="A311" s="1" t="s">
        <v>2161</v>
      </c>
      <c r="B311">
        <v>129</v>
      </c>
      <c r="C311" s="5">
        <f>B311/B314</f>
        <v>0.14861751152073732</v>
      </c>
      <c r="D311" s="5">
        <f>129/$D$3</f>
        <v>0.129</v>
      </c>
      <c r="F311">
        <v>75</v>
      </c>
      <c r="G311" s="5">
        <f>F311/F314</f>
        <v>0.16629711751662971</v>
      </c>
      <c r="H311" s="5">
        <f>75/$H$3</f>
        <v>0.15889830508474576</v>
      </c>
      <c r="J311">
        <v>46</v>
      </c>
      <c r="K311" s="5">
        <f>J311/J314</f>
        <v>0.1619718309859155</v>
      </c>
      <c r="L311" s="5">
        <f>46/$L$3</f>
        <v>0.16140350877192983</v>
      </c>
      <c r="N311">
        <v>38</v>
      </c>
      <c r="O311" s="5">
        <f>N311/N314</f>
        <v>0.16814159292035399</v>
      </c>
      <c r="P311" s="5">
        <f>38/$P$3</f>
        <v>0.16379310344827586</v>
      </c>
      <c r="R311">
        <v>52</v>
      </c>
      <c r="S311" s="5">
        <f>R311/R314</f>
        <v>0.18245614035087721</v>
      </c>
      <c r="T311" s="5">
        <f>52/$T$3</f>
        <v>0.17687074829931973</v>
      </c>
      <c r="V311">
        <v>69</v>
      </c>
      <c r="W311" s="5">
        <f>V311/V314</f>
        <v>0.17121588089330025</v>
      </c>
      <c r="X311" s="5">
        <f>69/$X$3</f>
        <v>0.16586538461538461</v>
      </c>
      <c r="Z311">
        <v>68</v>
      </c>
      <c r="AA311" s="5">
        <f>Z311/Z314</f>
        <v>0.16666666666666666</v>
      </c>
      <c r="AB311" s="5">
        <f>68/$AB$3</f>
        <v>0.16190476190476191</v>
      </c>
      <c r="AD311">
        <v>70</v>
      </c>
      <c r="AE311" s="5">
        <f>AD311/AD314</f>
        <v>0.16393442622950818</v>
      </c>
      <c r="AF311" s="5">
        <f>70/$AF$3</f>
        <v>0.14000000000000001</v>
      </c>
      <c r="AH311">
        <v>59</v>
      </c>
      <c r="AI311" s="5">
        <f>AH311/AH314</f>
        <v>0.13378684807256236</v>
      </c>
      <c r="AJ311" s="5">
        <f>59/$AJ$3</f>
        <v>0.11799999999999999</v>
      </c>
      <c r="AL311">
        <v>25</v>
      </c>
      <c r="AM311" s="5">
        <f>AL311/AL314</f>
        <v>0.16666666666666666</v>
      </c>
      <c r="AN311" s="5">
        <f>25/$AN$3</f>
        <v>0.14792899408284024</v>
      </c>
      <c r="AP311">
        <v>47</v>
      </c>
      <c r="AQ311" s="5">
        <f>AP311/AP314</f>
        <v>0.17279411764705882</v>
      </c>
      <c r="AR311" s="5">
        <f>47/$AR$3</f>
        <v>0.15112540192926044</v>
      </c>
      <c r="AT311">
        <v>46</v>
      </c>
      <c r="AU311" s="5">
        <f>AT311/AT314</f>
        <v>0.13569321533923304</v>
      </c>
      <c r="AV311" s="5">
        <f>46/$AV$3</f>
        <v>0.11794871794871795</v>
      </c>
      <c r="AX311">
        <v>11</v>
      </c>
      <c r="AY311" s="5">
        <f>AX311/AX314</f>
        <v>0.10280373831775701</v>
      </c>
      <c r="AZ311" s="5">
        <f>11/$AZ$3</f>
        <v>8.461538461538462E-2</v>
      </c>
      <c r="BB311">
        <v>71</v>
      </c>
      <c r="BC311" s="5">
        <f>BB311/BB314</f>
        <v>0.20821114369501467</v>
      </c>
      <c r="BD311" s="5">
        <f>71/$BD$3</f>
        <v>0.1748768472906404</v>
      </c>
      <c r="BE311" s="12"/>
      <c r="BF311">
        <v>43</v>
      </c>
      <c r="BG311" s="5">
        <f>BF311/BF314</f>
        <v>0.12990936555891239</v>
      </c>
      <c r="BH311" s="5">
        <f>43/$BH$3</f>
        <v>0.11559139784946236</v>
      </c>
      <c r="BJ311">
        <v>15</v>
      </c>
      <c r="BK311" s="5">
        <f>BJ311/BJ314</f>
        <v>7.6530612244897961E-2</v>
      </c>
      <c r="BL311" s="11">
        <f>15/$BL$3</f>
        <v>6.7567567567567571E-2</v>
      </c>
      <c r="BN311">
        <v>42</v>
      </c>
      <c r="BO311" s="5">
        <f>BN311/BN314</f>
        <v>0.13291139240506328</v>
      </c>
      <c r="BP311" s="5">
        <f>42/$BP$3</f>
        <v>0.11052631578947368</v>
      </c>
      <c r="BR311">
        <v>49</v>
      </c>
      <c r="BS311" s="5">
        <f>BR311/BR314</f>
        <v>0.1484848484848485</v>
      </c>
      <c r="BT311" s="5">
        <f>49/$BT$3</f>
        <v>0.13243243243243244</v>
      </c>
      <c r="BV311">
        <v>38</v>
      </c>
      <c r="BW311" s="5">
        <f>BV311/BV314</f>
        <v>0.17117117117117117</v>
      </c>
      <c r="BX311" s="5">
        <f>38/$BX$3</f>
        <v>0.152</v>
      </c>
      <c r="BZ311">
        <v>27</v>
      </c>
      <c r="CA311" s="5">
        <f>BZ311/BZ314</f>
        <v>0.12217194570135746</v>
      </c>
      <c r="CB311" s="5">
        <f>27/$CB$3</f>
        <v>0.108</v>
      </c>
      <c r="CD311">
        <v>28</v>
      </c>
      <c r="CE311" s="5">
        <f>CD311/CD314</f>
        <v>0.15642458100558659</v>
      </c>
      <c r="CF311" s="5">
        <f>28/$CF$3</f>
        <v>0.13333333333333333</v>
      </c>
      <c r="CH311">
        <v>31</v>
      </c>
      <c r="CI311" s="5">
        <f>CH311/CH314</f>
        <v>0.15979381443298968</v>
      </c>
      <c r="CJ311" s="5">
        <f>31/$CJ$3</f>
        <v>0.1409090909090909</v>
      </c>
      <c r="CL311">
        <v>43</v>
      </c>
      <c r="CM311" s="5">
        <f>CL311/CL314</f>
        <v>0.15693430656934307</v>
      </c>
      <c r="CN311" s="5">
        <f>43/$CN$3</f>
        <v>0.13437499999999999</v>
      </c>
    </row>
    <row r="312" spans="1:92" x14ac:dyDescent="0.25">
      <c r="A312" s="1" t="s">
        <v>2162</v>
      </c>
      <c r="B312">
        <v>42</v>
      </c>
      <c r="C312" s="5">
        <f>B312/B314</f>
        <v>4.8387096774193547E-2</v>
      </c>
      <c r="D312" s="5">
        <f>42/$D$3</f>
        <v>4.2000000000000003E-2</v>
      </c>
      <c r="F312">
        <v>32</v>
      </c>
      <c r="G312" s="5">
        <f>F312/F314</f>
        <v>7.0953436807095344E-2</v>
      </c>
      <c r="H312" s="5">
        <f>32/$H$3</f>
        <v>6.7796610169491525E-2</v>
      </c>
      <c r="J312">
        <v>20</v>
      </c>
      <c r="K312" s="5">
        <f>J312/J314</f>
        <v>7.0422535211267609E-2</v>
      </c>
      <c r="L312" s="5">
        <f>20/$L$3</f>
        <v>7.0175438596491224E-2</v>
      </c>
      <c r="N312">
        <v>15</v>
      </c>
      <c r="O312" s="5">
        <f>N312/N314</f>
        <v>6.637168141592921E-2</v>
      </c>
      <c r="P312" s="5">
        <f>15/$P$3</f>
        <v>6.4655172413793108E-2</v>
      </c>
      <c r="R312">
        <v>18</v>
      </c>
      <c r="S312" s="5">
        <f>R312/R314</f>
        <v>6.3157894736842107E-2</v>
      </c>
      <c r="T312" s="5">
        <f>18/$T$3</f>
        <v>6.1224489795918366E-2</v>
      </c>
      <c r="V312">
        <v>27</v>
      </c>
      <c r="W312" s="5">
        <f>V312/V314</f>
        <v>6.699751861042183E-2</v>
      </c>
      <c r="X312" s="5">
        <f>27/$X$3</f>
        <v>6.4903846153846159E-2</v>
      </c>
      <c r="Z312">
        <v>28</v>
      </c>
      <c r="AA312" s="5">
        <f>Z312/Z314</f>
        <v>6.8627450980392163E-2</v>
      </c>
      <c r="AB312" s="5">
        <f>28/$AB$3</f>
        <v>6.6666666666666666E-2</v>
      </c>
      <c r="AD312">
        <v>20</v>
      </c>
      <c r="AE312" s="5">
        <f>AD312/AD314</f>
        <v>4.6838407494145202E-2</v>
      </c>
      <c r="AF312" s="5">
        <f>20/$AF$3</f>
        <v>0.04</v>
      </c>
      <c r="AH312">
        <v>22</v>
      </c>
      <c r="AI312" s="5">
        <f>AH312/AH314</f>
        <v>4.9886621315192746E-2</v>
      </c>
      <c r="AJ312" s="5">
        <f>22/$AJ$3</f>
        <v>4.3999999999999997E-2</v>
      </c>
      <c r="AL312">
        <v>4</v>
      </c>
      <c r="AM312" s="5">
        <f>AL312/AL314</f>
        <v>2.6666666666666668E-2</v>
      </c>
      <c r="AN312" s="5">
        <f>4/$AN$3</f>
        <v>2.3668639053254437E-2</v>
      </c>
      <c r="AP312">
        <v>16</v>
      </c>
      <c r="AQ312" s="5">
        <f>AP312/AP314</f>
        <v>5.8823529411764705E-2</v>
      </c>
      <c r="AR312" s="5">
        <f>16/$AR$3</f>
        <v>5.1446945337620578E-2</v>
      </c>
      <c r="AT312">
        <v>15</v>
      </c>
      <c r="AU312" s="5">
        <f>AT312/AT314</f>
        <v>4.4247787610619468E-2</v>
      </c>
      <c r="AV312" s="5">
        <f>15/$AV$3</f>
        <v>3.8461538461538464E-2</v>
      </c>
      <c r="AX312">
        <v>7</v>
      </c>
      <c r="AY312" s="5">
        <f>AX312/AX314</f>
        <v>6.5420560747663545E-2</v>
      </c>
      <c r="AZ312" s="5">
        <f>7/$AZ$3</f>
        <v>5.3846153846153849E-2</v>
      </c>
      <c r="BB312">
        <v>18</v>
      </c>
      <c r="BC312" s="5">
        <f>BB312/BB314</f>
        <v>5.2785923753665691E-2</v>
      </c>
      <c r="BD312" s="5">
        <f>18/$BD$3</f>
        <v>4.4334975369458129E-2</v>
      </c>
      <c r="BF312">
        <v>13</v>
      </c>
      <c r="BG312" s="5">
        <f>BF312/BF314</f>
        <v>3.9274924471299093E-2</v>
      </c>
      <c r="BH312" s="5">
        <f>13/$BH$3</f>
        <v>3.4946236559139782E-2</v>
      </c>
      <c r="BJ312">
        <v>11</v>
      </c>
      <c r="BK312" s="5">
        <f>BJ312/BJ314</f>
        <v>5.6122448979591837E-2</v>
      </c>
      <c r="BL312" s="5">
        <f>11/$BL$3</f>
        <v>4.954954954954955E-2</v>
      </c>
      <c r="BN312">
        <v>17</v>
      </c>
      <c r="BO312" s="5">
        <f>BN312/BN314</f>
        <v>5.3797468354430382E-2</v>
      </c>
      <c r="BP312" s="5">
        <f>17/$BP$3</f>
        <v>4.4736842105263158E-2</v>
      </c>
      <c r="BR312">
        <v>9</v>
      </c>
      <c r="BS312" s="5">
        <f>BR312/BR314</f>
        <v>2.7272727272727271E-2</v>
      </c>
      <c r="BT312" s="5">
        <f>9/$BT$3</f>
        <v>2.4324324324324326E-2</v>
      </c>
      <c r="BV312">
        <v>16</v>
      </c>
      <c r="BW312" s="5">
        <f>BV312/BV314</f>
        <v>7.2072072072072071E-2</v>
      </c>
      <c r="BX312" s="5">
        <f>16/$BX$3</f>
        <v>6.4000000000000001E-2</v>
      </c>
      <c r="BZ312">
        <v>10</v>
      </c>
      <c r="CA312" s="5">
        <f>BZ312/BZ314</f>
        <v>4.5248868778280542E-2</v>
      </c>
      <c r="CB312" s="5">
        <f>10/$CB$3</f>
        <v>0.04</v>
      </c>
      <c r="CD312">
        <v>13</v>
      </c>
      <c r="CE312" s="5">
        <f>CD312/CD314</f>
        <v>7.2625698324022353E-2</v>
      </c>
      <c r="CF312" s="5">
        <f>13/$CF$3</f>
        <v>6.1904761904761907E-2</v>
      </c>
      <c r="CH312">
        <v>7</v>
      </c>
      <c r="CI312" s="5">
        <f>CH312/CH314</f>
        <v>3.608247422680412E-2</v>
      </c>
      <c r="CJ312" s="5">
        <f>7/$CJ$3</f>
        <v>3.1818181818181815E-2</v>
      </c>
      <c r="CL312">
        <v>12</v>
      </c>
      <c r="CM312" s="5">
        <f>CL312/CL314</f>
        <v>4.3795620437956206E-2</v>
      </c>
      <c r="CN312" s="5">
        <f>12/$CN$3</f>
        <v>3.7499999999999999E-2</v>
      </c>
    </row>
    <row r="313" spans="1:92" x14ac:dyDescent="0.25">
      <c r="A313" s="1" t="s">
        <v>12</v>
      </c>
      <c r="B313">
        <v>294</v>
      </c>
      <c r="C313" s="5">
        <f>B313/B314</f>
        <v>0.33870967741935482</v>
      </c>
      <c r="D313" s="5">
        <f>294/$D$3</f>
        <v>0.29399999999999998</v>
      </c>
      <c r="F313">
        <v>80</v>
      </c>
      <c r="G313" s="5">
        <f>F313/F314</f>
        <v>0.17738359201773837</v>
      </c>
      <c r="H313" s="11">
        <f>80/$H$3</f>
        <v>0.16949152542372881</v>
      </c>
      <c r="J313">
        <v>85</v>
      </c>
      <c r="K313" s="5">
        <f>J313/J314</f>
        <v>0.29929577464788731</v>
      </c>
      <c r="L313" s="5">
        <f>85/$L$3</f>
        <v>0.2982456140350877</v>
      </c>
      <c r="N313">
        <v>38</v>
      </c>
      <c r="O313" s="5">
        <f>N313/N314</f>
        <v>0.16814159292035399</v>
      </c>
      <c r="P313" s="11">
        <f>38/$P$3</f>
        <v>0.16379310344827586</v>
      </c>
      <c r="R313">
        <v>48</v>
      </c>
      <c r="S313" s="5">
        <f>R313/R314</f>
        <v>0.16842105263157894</v>
      </c>
      <c r="T313" s="11">
        <f>48/$T$3</f>
        <v>0.16326530612244897</v>
      </c>
      <c r="V313">
        <v>70</v>
      </c>
      <c r="W313" s="5">
        <f>V313/V314</f>
        <v>0.17369727047146402</v>
      </c>
      <c r="X313" s="11">
        <f>70/$X$3</f>
        <v>0.16826923076923078</v>
      </c>
      <c r="Z313">
        <v>74</v>
      </c>
      <c r="AA313" s="5">
        <f>Z313/Z314</f>
        <v>0.18137254901960784</v>
      </c>
      <c r="AB313" s="11">
        <f>74/$AB$3</f>
        <v>0.1761904761904762</v>
      </c>
      <c r="AD313">
        <v>152</v>
      </c>
      <c r="AE313" s="5">
        <f>AD313/AD314</f>
        <v>0.35597189695550352</v>
      </c>
      <c r="AF313" s="5">
        <f>152/$AF$3</f>
        <v>0.30399999999999999</v>
      </c>
      <c r="AH313">
        <v>142</v>
      </c>
      <c r="AI313" s="5">
        <f>AH313/AH314</f>
        <v>0.32199546485260772</v>
      </c>
      <c r="AJ313" s="5">
        <f>142/$AJ$3</f>
        <v>0.28399999999999997</v>
      </c>
      <c r="AL313">
        <v>34</v>
      </c>
      <c r="AM313" s="5">
        <f>AL313/AL314</f>
        <v>0.22666666666666666</v>
      </c>
      <c r="AN313" s="11">
        <f>34/$AN$3</f>
        <v>0.20118343195266272</v>
      </c>
      <c r="AP313">
        <v>88</v>
      </c>
      <c r="AQ313" s="5">
        <f>AP313/AP314</f>
        <v>0.3235294117647059</v>
      </c>
      <c r="AR313" s="5">
        <f>88/$AR$3</f>
        <v>0.28295819935691319</v>
      </c>
      <c r="AT313">
        <v>123</v>
      </c>
      <c r="AU313" s="5">
        <f>AT313/AT314</f>
        <v>0.36283185840707965</v>
      </c>
      <c r="AV313" s="5">
        <f>123/$AV$3</f>
        <v>0.31538461538461537</v>
      </c>
      <c r="AW313" s="12"/>
      <c r="AX313">
        <v>49</v>
      </c>
      <c r="AY313" s="5">
        <f>AX313/AX314</f>
        <v>0.45794392523364486</v>
      </c>
      <c r="AZ313" s="10">
        <f>49/$AZ$3</f>
        <v>0.37692307692307692</v>
      </c>
      <c r="BA313" s="12"/>
      <c r="BB313">
        <v>112</v>
      </c>
      <c r="BC313" s="5">
        <f>BB313/BB314</f>
        <v>0.3284457478005865</v>
      </c>
      <c r="BD313" s="5">
        <f>112/$BD$3</f>
        <v>0.27586206896551724</v>
      </c>
      <c r="BF313">
        <v>115</v>
      </c>
      <c r="BG313" s="5">
        <f>BF313/BF314</f>
        <v>0.34743202416918428</v>
      </c>
      <c r="BH313" s="5">
        <f>115/$BH$3</f>
        <v>0.30913978494623656</v>
      </c>
      <c r="BJ313">
        <v>67</v>
      </c>
      <c r="BK313" s="5">
        <f>BJ313/BJ314</f>
        <v>0.34183673469387754</v>
      </c>
      <c r="BL313" s="5">
        <f>67/$BL$3</f>
        <v>0.30180180180180183</v>
      </c>
      <c r="BN313">
        <v>108</v>
      </c>
      <c r="BO313" s="5">
        <f>BN313/BN314</f>
        <v>0.34177215189873417</v>
      </c>
      <c r="BP313" s="5">
        <f>108/$BP$3</f>
        <v>0.28421052631578947</v>
      </c>
      <c r="BR313">
        <v>121</v>
      </c>
      <c r="BS313" s="5">
        <f>BR313/BR314</f>
        <v>0.36666666666666664</v>
      </c>
      <c r="BT313" s="5">
        <f>121/$BT$3</f>
        <v>0.32702702702702702</v>
      </c>
      <c r="BV313">
        <v>65</v>
      </c>
      <c r="BW313" s="5">
        <f>BV313/BV314</f>
        <v>0.2927927927927928</v>
      </c>
      <c r="BX313" s="5">
        <f>65/$BX$3</f>
        <v>0.26</v>
      </c>
      <c r="BZ313">
        <v>68</v>
      </c>
      <c r="CA313" s="5">
        <f>BZ313/BZ314</f>
        <v>0.30769230769230771</v>
      </c>
      <c r="CB313" s="5">
        <f>68/$CB$3</f>
        <v>0.27200000000000002</v>
      </c>
      <c r="CD313">
        <v>62</v>
      </c>
      <c r="CE313" s="5">
        <f>CD313/CD314</f>
        <v>0.34636871508379891</v>
      </c>
      <c r="CF313" s="5">
        <f>62/$CF$3</f>
        <v>0.29523809523809524</v>
      </c>
      <c r="CH313">
        <v>70</v>
      </c>
      <c r="CI313" s="5">
        <f>CH313/CH314</f>
        <v>0.36082474226804123</v>
      </c>
      <c r="CJ313" s="5">
        <f>70/$CJ$3</f>
        <v>0.31818181818181818</v>
      </c>
      <c r="CL313">
        <v>94</v>
      </c>
      <c r="CM313" s="5">
        <f>CL313/CL314</f>
        <v>0.34306569343065696</v>
      </c>
      <c r="CN313" s="5">
        <f>94/$CN$3</f>
        <v>0.29375000000000001</v>
      </c>
    </row>
    <row r="314" spans="1:92" s="6" customFormat="1" x14ac:dyDescent="0.25">
      <c r="A314" s="7" t="s">
        <v>13</v>
      </c>
      <c r="B314" s="6">
        <v>868</v>
      </c>
      <c r="F314" s="6">
        <v>451</v>
      </c>
      <c r="J314" s="6">
        <v>284</v>
      </c>
      <c r="N314" s="6">
        <v>226</v>
      </c>
      <c r="R314" s="6">
        <v>285</v>
      </c>
      <c r="V314" s="6">
        <v>403</v>
      </c>
      <c r="Z314" s="6">
        <v>408</v>
      </c>
      <c r="AD314" s="6">
        <v>427</v>
      </c>
      <c r="AH314" s="6">
        <v>441</v>
      </c>
      <c r="AL314" s="6">
        <v>150</v>
      </c>
      <c r="AP314" s="6">
        <v>272</v>
      </c>
      <c r="AT314" s="6">
        <v>339</v>
      </c>
      <c r="AX314" s="6">
        <v>107</v>
      </c>
      <c r="BB314" s="6">
        <v>341</v>
      </c>
      <c r="BF314" s="6">
        <v>331</v>
      </c>
      <c r="BJ314" s="6">
        <v>196</v>
      </c>
      <c r="BN314" s="6">
        <v>316</v>
      </c>
      <c r="BR314" s="6">
        <v>330</v>
      </c>
      <c r="BV314" s="6">
        <v>222</v>
      </c>
      <c r="BZ314" s="6">
        <v>221</v>
      </c>
      <c r="CD314" s="6">
        <v>179</v>
      </c>
      <c r="CH314" s="6">
        <v>194</v>
      </c>
      <c r="CL314" s="6">
        <v>274</v>
      </c>
    </row>
    <row r="315" spans="1:92" hidden="1" x14ac:dyDescent="0.25">
      <c r="A315" s="8" t="s">
        <v>14</v>
      </c>
      <c r="B315">
        <v>0</v>
      </c>
      <c r="F315">
        <v>0</v>
      </c>
      <c r="J315">
        <v>0</v>
      </c>
      <c r="N315">
        <v>0</v>
      </c>
      <c r="R315">
        <v>0</v>
      </c>
      <c r="V315">
        <v>0</v>
      </c>
      <c r="Z315">
        <v>0</v>
      </c>
      <c r="AD315">
        <v>0</v>
      </c>
      <c r="AH315">
        <v>0</v>
      </c>
      <c r="AL315">
        <v>0</v>
      </c>
      <c r="AP315">
        <v>0</v>
      </c>
      <c r="AT315">
        <v>0</v>
      </c>
      <c r="AX315">
        <v>0</v>
      </c>
      <c r="BB315">
        <v>0</v>
      </c>
      <c r="BF315">
        <v>0</v>
      </c>
      <c r="BJ315">
        <v>0</v>
      </c>
      <c r="BN315">
        <v>0</v>
      </c>
      <c r="BR315">
        <v>0</v>
      </c>
      <c r="BV315">
        <v>0</v>
      </c>
      <c r="BZ315">
        <v>0</v>
      </c>
      <c r="CD315">
        <v>0</v>
      </c>
      <c r="CH315">
        <v>0</v>
      </c>
      <c r="CL315">
        <v>0</v>
      </c>
    </row>
    <row r="316" spans="1:92" s="13" customFormat="1" x14ac:dyDescent="0.25">
      <c r="A316" s="8" t="s">
        <v>15</v>
      </c>
      <c r="B316" s="13">
        <v>132</v>
      </c>
      <c r="F316" s="13">
        <v>21</v>
      </c>
      <c r="J316" s="13">
        <v>1</v>
      </c>
      <c r="N316" s="13">
        <v>6</v>
      </c>
      <c r="R316" s="13">
        <v>9</v>
      </c>
      <c r="V316" s="13">
        <v>13</v>
      </c>
      <c r="Z316" s="13">
        <v>12</v>
      </c>
      <c r="AD316" s="13">
        <v>73</v>
      </c>
      <c r="AH316" s="13">
        <v>59</v>
      </c>
      <c r="AL316" s="13">
        <v>19</v>
      </c>
      <c r="AP316" s="13">
        <v>39</v>
      </c>
      <c r="AT316" s="13">
        <v>51</v>
      </c>
      <c r="AX316" s="13">
        <v>23</v>
      </c>
      <c r="BB316" s="13">
        <v>65</v>
      </c>
      <c r="BF316" s="13">
        <v>41</v>
      </c>
      <c r="BJ316" s="13">
        <v>26</v>
      </c>
      <c r="BN316" s="13">
        <v>64</v>
      </c>
      <c r="BR316" s="13">
        <v>40</v>
      </c>
      <c r="BV316" s="13">
        <v>28</v>
      </c>
      <c r="BZ316" s="13">
        <v>29</v>
      </c>
      <c r="CD316" s="13">
        <v>31</v>
      </c>
      <c r="CH316" s="13">
        <v>26</v>
      </c>
      <c r="CL316" s="13">
        <v>46</v>
      </c>
    </row>
    <row r="318" spans="1:92" x14ac:dyDescent="0.25">
      <c r="AN318" s="2" t="s">
        <v>5</v>
      </c>
      <c r="AR318" s="2" t="s">
        <v>6</v>
      </c>
      <c r="AV318" s="2" t="s">
        <v>7</v>
      </c>
      <c r="AZ318" s="2" t="s">
        <v>8</v>
      </c>
      <c r="BD318" s="2" t="s">
        <v>5</v>
      </c>
      <c r="BH318" s="2" t="s">
        <v>6</v>
      </c>
      <c r="BL318" s="2" t="s">
        <v>7</v>
      </c>
      <c r="BP318" s="2" t="s">
        <v>5</v>
      </c>
      <c r="BT318" s="2" t="s">
        <v>6</v>
      </c>
      <c r="BX318" s="2" t="s">
        <v>7</v>
      </c>
      <c r="CB318" s="2" t="s">
        <v>5</v>
      </c>
      <c r="CF318" s="2" t="s">
        <v>6</v>
      </c>
      <c r="CJ318" s="2" t="s">
        <v>7</v>
      </c>
      <c r="CN318" s="2" t="s">
        <v>8</v>
      </c>
    </row>
    <row r="319" spans="1:92" s="53" customFormat="1" ht="63" customHeight="1" x14ac:dyDescent="0.25">
      <c r="A319" s="51" t="s">
        <v>1</v>
      </c>
      <c r="B319" s="52" t="s">
        <v>2238</v>
      </c>
      <c r="C319" s="52"/>
      <c r="D319" s="52"/>
      <c r="F319" s="52" t="s">
        <v>2239</v>
      </c>
      <c r="G319" s="52"/>
      <c r="H319" s="52"/>
      <c r="J319" s="52" t="s">
        <v>2240</v>
      </c>
      <c r="K319" s="52"/>
      <c r="L319" s="52"/>
      <c r="N319" s="52" t="s">
        <v>2241</v>
      </c>
      <c r="O319" s="52"/>
      <c r="P319" s="52"/>
      <c r="R319" s="52" t="s">
        <v>2242</v>
      </c>
      <c r="S319" s="52"/>
      <c r="T319" s="52"/>
      <c r="V319" s="52" t="s">
        <v>2243</v>
      </c>
      <c r="W319" s="52"/>
      <c r="X319" s="52"/>
      <c r="Z319" s="52" t="s">
        <v>2244</v>
      </c>
      <c r="AA319" s="52"/>
      <c r="AB319" s="52"/>
      <c r="AD319" s="54" t="s">
        <v>2245</v>
      </c>
      <c r="AE319" s="55"/>
      <c r="AF319" s="55"/>
      <c r="AH319" s="54" t="s">
        <v>2246</v>
      </c>
      <c r="AI319" s="55"/>
      <c r="AJ319" s="55"/>
      <c r="AL319" s="54" t="s">
        <v>2247</v>
      </c>
      <c r="AM319" s="55"/>
      <c r="AN319" s="55"/>
      <c r="AP319" s="54" t="s">
        <v>2248</v>
      </c>
      <c r="AQ319" s="55"/>
      <c r="AR319" s="55"/>
      <c r="AT319" s="54" t="s">
        <v>2249</v>
      </c>
      <c r="AU319" s="55"/>
      <c r="AV319" s="55"/>
      <c r="AX319" s="54" t="s">
        <v>2250</v>
      </c>
      <c r="AY319" s="55"/>
      <c r="AZ319" s="55"/>
      <c r="BB319" s="54" t="s">
        <v>2251</v>
      </c>
      <c r="BC319" s="55"/>
      <c r="BD319" s="55"/>
      <c r="BF319" s="54" t="s">
        <v>2252</v>
      </c>
      <c r="BG319" s="55"/>
      <c r="BH319" s="55"/>
      <c r="BJ319" s="54" t="s">
        <v>2253</v>
      </c>
      <c r="BK319" s="55"/>
      <c r="BL319" s="55"/>
      <c r="BN319" s="54" t="s">
        <v>2254</v>
      </c>
      <c r="BO319" s="55"/>
      <c r="BP319" s="55"/>
      <c r="BR319" s="54" t="s">
        <v>2255</v>
      </c>
      <c r="BS319" s="55"/>
      <c r="BT319" s="55"/>
      <c r="BV319" s="54" t="s">
        <v>2256</v>
      </c>
      <c r="BW319" s="55"/>
      <c r="BX319" s="55"/>
      <c r="BZ319" s="54" t="s">
        <v>2257</v>
      </c>
      <c r="CA319" s="55"/>
      <c r="CB319" s="55"/>
      <c r="CD319" s="54" t="s">
        <v>2258</v>
      </c>
      <c r="CE319" s="55"/>
      <c r="CF319" s="55"/>
      <c r="CH319" s="54" t="s">
        <v>2259</v>
      </c>
      <c r="CI319" s="55"/>
      <c r="CJ319" s="55"/>
      <c r="CL319" s="54" t="s">
        <v>2260</v>
      </c>
      <c r="CM319" s="55"/>
      <c r="CN319" s="55"/>
    </row>
    <row r="320" spans="1:92" x14ac:dyDescent="0.25">
      <c r="AN320" s="2" t="s">
        <v>5</v>
      </c>
      <c r="AR320" s="2" t="s">
        <v>6</v>
      </c>
      <c r="AV320" s="2" t="s">
        <v>7</v>
      </c>
      <c r="AZ320" s="2" t="s">
        <v>8</v>
      </c>
      <c r="BD320" s="2" t="s">
        <v>5</v>
      </c>
      <c r="BH320" s="2" t="s">
        <v>6</v>
      </c>
      <c r="BL320" s="2" t="s">
        <v>7</v>
      </c>
      <c r="BP320" s="2" t="s">
        <v>5</v>
      </c>
      <c r="BT320" s="2" t="s">
        <v>6</v>
      </c>
      <c r="BX320" s="2" t="s">
        <v>7</v>
      </c>
      <c r="CB320" s="2" t="s">
        <v>5</v>
      </c>
      <c r="CF320" s="2" t="s">
        <v>6</v>
      </c>
      <c r="CJ320" s="2" t="s">
        <v>7</v>
      </c>
      <c r="CN320" s="2" t="s">
        <v>8</v>
      </c>
    </row>
    <row r="321" spans="1:93" s="3" customFormat="1" x14ac:dyDescent="0.25">
      <c r="A321" s="3" t="s">
        <v>2209</v>
      </c>
      <c r="D321" s="4" t="s">
        <v>10</v>
      </c>
      <c r="H321" s="4" t="s">
        <v>10</v>
      </c>
      <c r="L321" s="4" t="s">
        <v>10</v>
      </c>
      <c r="P321" s="4" t="s">
        <v>10</v>
      </c>
      <c r="T321" s="4" t="s">
        <v>10</v>
      </c>
      <c r="X321" s="4" t="s">
        <v>10</v>
      </c>
      <c r="AB321" s="4" t="s">
        <v>10</v>
      </c>
      <c r="AF321" s="4" t="s">
        <v>10</v>
      </c>
      <c r="AJ321" s="4" t="s">
        <v>10</v>
      </c>
      <c r="AN321" s="4" t="s">
        <v>10</v>
      </c>
      <c r="AR321" s="4" t="s">
        <v>10</v>
      </c>
      <c r="AV321" s="4" t="s">
        <v>10</v>
      </c>
      <c r="AZ321" s="4" t="s">
        <v>10</v>
      </c>
      <c r="BD321" s="4" t="s">
        <v>10</v>
      </c>
      <c r="BH321" s="4" t="s">
        <v>10</v>
      </c>
      <c r="BL321" s="4" t="s">
        <v>10</v>
      </c>
      <c r="BP321" s="4" t="s">
        <v>10</v>
      </c>
      <c r="BT321" s="4" t="s">
        <v>10</v>
      </c>
      <c r="BX321" s="4" t="s">
        <v>10</v>
      </c>
      <c r="CB321" s="4" t="s">
        <v>10</v>
      </c>
      <c r="CF321" s="4" t="s">
        <v>10</v>
      </c>
      <c r="CJ321" s="4" t="s">
        <v>10</v>
      </c>
      <c r="CN321" s="4" t="s">
        <v>10</v>
      </c>
    </row>
    <row r="322" spans="1:93" x14ac:dyDescent="0.25">
      <c r="A322" s="1" t="s">
        <v>2208</v>
      </c>
      <c r="B322">
        <v>500</v>
      </c>
      <c r="C322" s="5">
        <f>B322/B371</f>
        <v>0.5</v>
      </c>
      <c r="D322" s="5">
        <f>500/$D$3</f>
        <v>0.5</v>
      </c>
      <c r="F322">
        <v>241</v>
      </c>
      <c r="G322" s="5">
        <f>F322/F371</f>
        <v>0.51059322033898302</v>
      </c>
      <c r="H322" s="5">
        <f>241/$H$3</f>
        <v>0.51059322033898302</v>
      </c>
      <c r="J322">
        <v>113</v>
      </c>
      <c r="K322" s="5">
        <f>J322/J371</f>
        <v>0.39649122807017545</v>
      </c>
      <c r="L322" s="11">
        <f>113/$L$3</f>
        <v>0.39649122807017545</v>
      </c>
      <c r="N322">
        <v>107</v>
      </c>
      <c r="O322" s="5">
        <f>N322/N371</f>
        <v>0.46120689655172414</v>
      </c>
      <c r="P322" s="5">
        <f>107/$P$3</f>
        <v>0.46120689655172414</v>
      </c>
      <c r="R322">
        <v>117</v>
      </c>
      <c r="S322" s="5">
        <f>R322/R371</f>
        <v>0.39795918367346939</v>
      </c>
      <c r="T322" s="11">
        <f>117/$T$3</f>
        <v>0.39795918367346939</v>
      </c>
      <c r="V322">
        <v>226</v>
      </c>
      <c r="W322" s="5">
        <f>V322/V371</f>
        <v>0.54326923076923073</v>
      </c>
      <c r="X322" s="5">
        <f>226/$X$3</f>
        <v>0.54326923076923073</v>
      </c>
      <c r="Z322">
        <v>208</v>
      </c>
      <c r="AA322" s="5">
        <f>Z322/Z371</f>
        <v>0.49523809523809526</v>
      </c>
      <c r="AB322" s="5">
        <f>208/$AB$3</f>
        <v>0.49523809523809526</v>
      </c>
      <c r="AD322">
        <v>0</v>
      </c>
      <c r="AE322" s="5">
        <f>AD322/AD371</f>
        <v>0</v>
      </c>
      <c r="AF322" s="11">
        <f>0/$AF$3</f>
        <v>0</v>
      </c>
      <c r="AH322">
        <v>500</v>
      </c>
      <c r="AI322" s="5">
        <f>AH322/AH371</f>
        <v>1</v>
      </c>
      <c r="AJ322" s="5">
        <f>500/$AJ$3</f>
        <v>1</v>
      </c>
      <c r="AL322">
        <v>91</v>
      </c>
      <c r="AM322" s="5">
        <f>AL322/AL371</f>
        <v>0.53846153846153844</v>
      </c>
      <c r="AN322" s="5">
        <f>91/$AN$3</f>
        <v>0.53846153846153844</v>
      </c>
      <c r="AP322">
        <v>154</v>
      </c>
      <c r="AQ322" s="5">
        <f>AP322/AP371</f>
        <v>0.49517684887459806</v>
      </c>
      <c r="AR322" s="5">
        <f>154/$AR$3</f>
        <v>0.49517684887459806</v>
      </c>
      <c r="AT322">
        <v>181</v>
      </c>
      <c r="AU322" s="5">
        <f>AT322/AT371</f>
        <v>0.46410256410256412</v>
      </c>
      <c r="AV322" s="5">
        <f>181/$AV$3</f>
        <v>0.46410256410256412</v>
      </c>
      <c r="AX322">
        <v>74</v>
      </c>
      <c r="AY322" s="5">
        <f>AX322/AX371</f>
        <v>0.56923076923076921</v>
      </c>
      <c r="AZ322" s="5">
        <f>74/$AZ$3</f>
        <v>0.56923076923076921</v>
      </c>
      <c r="BB322">
        <v>198</v>
      </c>
      <c r="BC322" s="5">
        <f>BB322/BB371</f>
        <v>0.48768472906403942</v>
      </c>
      <c r="BD322" s="5">
        <f>198/$BD$3</f>
        <v>0.48768472906403942</v>
      </c>
      <c r="BF322">
        <v>191</v>
      </c>
      <c r="BG322" s="5">
        <f>BF322/BF371</f>
        <v>0.51344086021505375</v>
      </c>
      <c r="BH322" s="5">
        <f>191/$BH$3</f>
        <v>0.51344086021505375</v>
      </c>
      <c r="BJ322">
        <v>111</v>
      </c>
      <c r="BK322" s="5">
        <f>BJ322/BJ371</f>
        <v>0.5</v>
      </c>
      <c r="BL322" s="5">
        <f>111/$BL$3</f>
        <v>0.5</v>
      </c>
      <c r="BN322">
        <v>184</v>
      </c>
      <c r="BO322" s="5">
        <f>BN322/BN371</f>
        <v>0.48421052631578948</v>
      </c>
      <c r="BP322" s="5">
        <f>184/$BP$3</f>
        <v>0.48421052631578948</v>
      </c>
      <c r="BR322">
        <v>217</v>
      </c>
      <c r="BS322" s="5">
        <f>BR322/BR371</f>
        <v>0.58648648648648649</v>
      </c>
      <c r="BT322" s="10">
        <f>217/$BT$3</f>
        <v>0.58648648648648649</v>
      </c>
      <c r="BU322" s="12"/>
      <c r="BV322">
        <v>99</v>
      </c>
      <c r="BW322" s="5">
        <f>BV322/BV371</f>
        <v>0.39600000000000002</v>
      </c>
      <c r="BX322" s="11">
        <f>99/$BX$3</f>
        <v>0.39600000000000002</v>
      </c>
      <c r="BZ322">
        <v>130</v>
      </c>
      <c r="CA322" s="5">
        <f>BZ322/BZ371</f>
        <v>0.52</v>
      </c>
      <c r="CB322" s="5">
        <f>130/$CB$3</f>
        <v>0.52</v>
      </c>
      <c r="CD322">
        <v>106</v>
      </c>
      <c r="CE322" s="5">
        <f>CD322/CD371</f>
        <v>0.50476190476190474</v>
      </c>
      <c r="CF322" s="5">
        <f>106/$CF$3</f>
        <v>0.50476190476190474</v>
      </c>
      <c r="CH322">
        <v>109</v>
      </c>
      <c r="CI322" s="5">
        <f>CH322/CH371</f>
        <v>0.49545454545454548</v>
      </c>
      <c r="CJ322" s="5">
        <f>109/$CJ$3</f>
        <v>0.49545454545454548</v>
      </c>
      <c r="CL322">
        <v>155</v>
      </c>
      <c r="CM322" s="5">
        <f>CL322/CL371</f>
        <v>0.484375</v>
      </c>
      <c r="CN322" s="5">
        <f>155/$CN$3</f>
        <v>0.484375</v>
      </c>
    </row>
    <row r="323" spans="1:93" x14ac:dyDescent="0.25">
      <c r="A323" s="1" t="s">
        <v>2207</v>
      </c>
      <c r="B323">
        <v>500</v>
      </c>
      <c r="C323" s="5">
        <f>B323/B371</f>
        <v>0.5</v>
      </c>
      <c r="D323" s="5">
        <f>500/$D$3</f>
        <v>0.5</v>
      </c>
      <c r="F323">
        <v>231</v>
      </c>
      <c r="G323" s="5">
        <f>F323/F371</f>
        <v>0.48940677966101692</v>
      </c>
      <c r="H323" s="5">
        <f>231/$H$3</f>
        <v>0.48940677966101692</v>
      </c>
      <c r="J323">
        <v>172</v>
      </c>
      <c r="K323" s="5">
        <f>J323/J371</f>
        <v>0.60350877192982455</v>
      </c>
      <c r="L323" s="10">
        <f>172/$L$3</f>
        <v>0.60350877192982455</v>
      </c>
      <c r="N323">
        <v>125</v>
      </c>
      <c r="O323" s="5">
        <f>N323/N371</f>
        <v>0.53879310344827591</v>
      </c>
      <c r="P323" s="5">
        <f>125/$P$3</f>
        <v>0.53879310344827591</v>
      </c>
      <c r="R323">
        <v>177</v>
      </c>
      <c r="S323" s="5">
        <f>R323/R371</f>
        <v>0.60204081632653061</v>
      </c>
      <c r="T323" s="10">
        <f>177/$T$3</f>
        <v>0.60204081632653061</v>
      </c>
      <c r="V323">
        <v>190</v>
      </c>
      <c r="W323" s="5">
        <f>V323/V371</f>
        <v>0.45673076923076922</v>
      </c>
      <c r="X323" s="5">
        <f>190/$X$3</f>
        <v>0.45673076923076922</v>
      </c>
      <c r="Z323">
        <v>212</v>
      </c>
      <c r="AA323" s="5">
        <f>Z323/Z371</f>
        <v>0.50476190476190474</v>
      </c>
      <c r="AB323" s="5">
        <f>212/$AB$3</f>
        <v>0.50476190476190474</v>
      </c>
      <c r="AD323">
        <v>500</v>
      </c>
      <c r="AE323" s="5">
        <f>AD323/AD371</f>
        <v>1</v>
      </c>
      <c r="AF323" s="5">
        <f>500/$AF$3</f>
        <v>1</v>
      </c>
      <c r="AH323">
        <v>0</v>
      </c>
      <c r="AI323" s="5">
        <f>AH323/AH371</f>
        <v>0</v>
      </c>
      <c r="AJ323" s="11">
        <f>0/$AJ$3</f>
        <v>0</v>
      </c>
      <c r="AL323">
        <v>78</v>
      </c>
      <c r="AM323" s="5">
        <f>AL323/AL371</f>
        <v>0.46153846153846156</v>
      </c>
      <c r="AN323" s="5">
        <f>78/$AN$3</f>
        <v>0.46153846153846156</v>
      </c>
      <c r="AP323">
        <v>157</v>
      </c>
      <c r="AQ323" s="5">
        <f>AP323/AP371</f>
        <v>0.50482315112540188</v>
      </c>
      <c r="AR323" s="5">
        <f>157/$AR$3</f>
        <v>0.50482315112540188</v>
      </c>
      <c r="AT323">
        <v>209</v>
      </c>
      <c r="AU323" s="5">
        <f>AT323/AT371</f>
        <v>0.53589743589743588</v>
      </c>
      <c r="AV323" s="5">
        <f>209/$AV$3</f>
        <v>0.53589743589743588</v>
      </c>
      <c r="AX323">
        <v>56</v>
      </c>
      <c r="AY323" s="5">
        <f>AX323/AX371</f>
        <v>0.43076923076923079</v>
      </c>
      <c r="AZ323" s="5">
        <f>56/$AZ$3</f>
        <v>0.43076923076923079</v>
      </c>
      <c r="BB323">
        <v>208</v>
      </c>
      <c r="BC323" s="5">
        <f>BB323/BB371</f>
        <v>0.51231527093596063</v>
      </c>
      <c r="BD323" s="5">
        <f>208/$BD$3</f>
        <v>0.51231527093596063</v>
      </c>
      <c r="BF323">
        <v>181</v>
      </c>
      <c r="BG323" s="5">
        <f>BF323/BF371</f>
        <v>0.48655913978494625</v>
      </c>
      <c r="BH323" s="5">
        <f>181/$BH$3</f>
        <v>0.48655913978494625</v>
      </c>
      <c r="BJ323">
        <v>111</v>
      </c>
      <c r="BK323" s="5">
        <f>BJ323/BJ371</f>
        <v>0.5</v>
      </c>
      <c r="BL323" s="5">
        <f>111/$BL$3</f>
        <v>0.5</v>
      </c>
      <c r="BN323">
        <v>196</v>
      </c>
      <c r="BO323" s="5">
        <f>BN323/BN371</f>
        <v>0.51578947368421058</v>
      </c>
      <c r="BP323" s="5">
        <f>196/$BP$3</f>
        <v>0.51578947368421058</v>
      </c>
      <c r="BQ323" s="12"/>
      <c r="BR323">
        <v>153</v>
      </c>
      <c r="BS323" s="5">
        <f>BR323/BR371</f>
        <v>0.41351351351351351</v>
      </c>
      <c r="BT323" s="11">
        <f>153/$BT$3</f>
        <v>0.41351351351351351</v>
      </c>
      <c r="BV323">
        <v>151</v>
      </c>
      <c r="BW323" s="5">
        <f>BV323/BV371</f>
        <v>0.60399999999999998</v>
      </c>
      <c r="BX323" s="10">
        <f>151/$BX$3</f>
        <v>0.60399999999999998</v>
      </c>
      <c r="BY323" s="12"/>
      <c r="BZ323">
        <v>120</v>
      </c>
      <c r="CA323" s="5">
        <f>BZ323/BZ371</f>
        <v>0.48</v>
      </c>
      <c r="CB323" s="5">
        <f>120/$CB$3</f>
        <v>0.48</v>
      </c>
      <c r="CD323">
        <v>104</v>
      </c>
      <c r="CE323" s="5">
        <f>CD323/CD371</f>
        <v>0.49523809523809526</v>
      </c>
      <c r="CF323" s="5">
        <f>104/$CF$3</f>
        <v>0.49523809523809526</v>
      </c>
      <c r="CH323">
        <v>111</v>
      </c>
      <c r="CI323" s="5">
        <f>CH323/CH371</f>
        <v>0.50454545454545452</v>
      </c>
      <c r="CJ323" s="5">
        <f>111/$CJ$3</f>
        <v>0.50454545454545452</v>
      </c>
      <c r="CL323">
        <v>165</v>
      </c>
      <c r="CM323" s="5">
        <f>CL323/CL371</f>
        <v>0.515625</v>
      </c>
      <c r="CN323" s="5">
        <f>165/$CN$3</f>
        <v>0.515625</v>
      </c>
    </row>
    <row r="324" spans="1:93" x14ac:dyDescent="0.25">
      <c r="A324" s="1" t="s">
        <v>2</v>
      </c>
      <c r="B324">
        <v>169</v>
      </c>
      <c r="C324" s="5">
        <f>B324/B371</f>
        <v>0.16900000000000001</v>
      </c>
      <c r="D324" s="5">
        <f>169/$D$3</f>
        <v>0.16900000000000001</v>
      </c>
      <c r="F324">
        <v>93</v>
      </c>
      <c r="G324" s="5">
        <f>F324/F371</f>
        <v>0.19703389830508475</v>
      </c>
      <c r="H324" s="5">
        <f>93/$H$3</f>
        <v>0.19703389830508475</v>
      </c>
      <c r="J324">
        <v>41</v>
      </c>
      <c r="K324" s="5">
        <f>J324/J371</f>
        <v>0.14385964912280702</v>
      </c>
      <c r="L324" s="5">
        <f>41/$L$3</f>
        <v>0.14385964912280702</v>
      </c>
      <c r="N324">
        <v>32</v>
      </c>
      <c r="O324" s="5">
        <f>N324/N371</f>
        <v>0.13793103448275862</v>
      </c>
      <c r="P324" s="5">
        <f>32/$P$3</f>
        <v>0.13793103448275862</v>
      </c>
      <c r="R324">
        <v>70</v>
      </c>
      <c r="S324" s="5">
        <f>R324/R371</f>
        <v>0.23809523809523808</v>
      </c>
      <c r="T324" s="10">
        <f>70/$T$3</f>
        <v>0.23809523809523808</v>
      </c>
      <c r="V324">
        <v>81</v>
      </c>
      <c r="W324" s="5">
        <f>V324/V371</f>
        <v>0.19471153846153846</v>
      </c>
      <c r="X324" s="5">
        <f>81/$X$3</f>
        <v>0.19471153846153846</v>
      </c>
      <c r="Z324">
        <v>82</v>
      </c>
      <c r="AA324" s="5">
        <f>Z324/Z371</f>
        <v>0.19523809523809524</v>
      </c>
      <c r="AB324" s="5">
        <f>82/$AB$3</f>
        <v>0.19523809523809524</v>
      </c>
      <c r="AD324">
        <v>78</v>
      </c>
      <c r="AE324" s="5">
        <f>AD324/AD371</f>
        <v>0.156</v>
      </c>
      <c r="AF324" s="5">
        <f>78/$AF$3</f>
        <v>0.156</v>
      </c>
      <c r="AH324">
        <v>91</v>
      </c>
      <c r="AI324" s="5">
        <f>AH324/AH371</f>
        <v>0.182</v>
      </c>
      <c r="AJ324" s="5">
        <f>91/$AJ$3</f>
        <v>0.182</v>
      </c>
      <c r="AL324">
        <v>169</v>
      </c>
      <c r="AM324" s="5">
        <f>AL324/AL371</f>
        <v>1</v>
      </c>
      <c r="AN324" s="5">
        <f>169/$AN$3</f>
        <v>1</v>
      </c>
      <c r="AO324" s="12"/>
      <c r="AP324">
        <v>0</v>
      </c>
      <c r="AQ324" s="5">
        <f>AP324/AP371</f>
        <v>0</v>
      </c>
      <c r="AR324" s="11">
        <f>0/$AR$3</f>
        <v>0</v>
      </c>
      <c r="AT324">
        <v>0</v>
      </c>
      <c r="AU324" s="5">
        <f>AT324/AT371</f>
        <v>0</v>
      </c>
      <c r="AV324" s="11">
        <f>0/$AV$3</f>
        <v>0</v>
      </c>
      <c r="AX324">
        <v>0</v>
      </c>
      <c r="AY324" s="5">
        <f>AX324/AX371</f>
        <v>0</v>
      </c>
      <c r="AZ324" s="11">
        <f t="shared" ref="AZ324:AZ326" si="0">0/$AZ$3</f>
        <v>0</v>
      </c>
      <c r="BB324">
        <v>67</v>
      </c>
      <c r="BC324" s="5">
        <f>BB324/BB371</f>
        <v>0.16502463054187191</v>
      </c>
      <c r="BD324" s="5">
        <f>67/$BD$3</f>
        <v>0.16502463054187191</v>
      </c>
      <c r="BF324">
        <v>60</v>
      </c>
      <c r="BG324" s="5">
        <f>BF324/BF371</f>
        <v>0.16129032258064516</v>
      </c>
      <c r="BH324" s="5">
        <f>60/$BH$3</f>
        <v>0.16129032258064516</v>
      </c>
      <c r="BJ324">
        <v>42</v>
      </c>
      <c r="BK324" s="5">
        <f>BJ324/BJ371</f>
        <v>0.1891891891891892</v>
      </c>
      <c r="BL324" s="5">
        <f>42/$BL$3</f>
        <v>0.1891891891891892</v>
      </c>
      <c r="BN324">
        <v>59</v>
      </c>
      <c r="BO324" s="5">
        <f>BN324/BN371</f>
        <v>0.15526315789473685</v>
      </c>
      <c r="BP324" s="5">
        <f>59/$BP$3</f>
        <v>0.15526315789473685</v>
      </c>
      <c r="BR324">
        <v>59</v>
      </c>
      <c r="BS324" s="5">
        <f>BR324/BR371</f>
        <v>0.15945945945945947</v>
      </c>
      <c r="BT324" s="5">
        <f>59/$BT$3</f>
        <v>0.15945945945945947</v>
      </c>
      <c r="BV324">
        <v>51</v>
      </c>
      <c r="BW324" s="5">
        <f>BV324/BV371</f>
        <v>0.20399999999999999</v>
      </c>
      <c r="BX324" s="5">
        <f>51/$BX$3</f>
        <v>0.20399999999999999</v>
      </c>
      <c r="BZ324">
        <v>36</v>
      </c>
      <c r="CA324" s="5">
        <f>BZ324/BZ371</f>
        <v>0.14399999999999999</v>
      </c>
      <c r="CB324" s="5">
        <f>36/$CB$3</f>
        <v>0.14399999999999999</v>
      </c>
      <c r="CD324">
        <v>29</v>
      </c>
      <c r="CE324" s="5">
        <f>CD324/CD371</f>
        <v>0.1380952380952381</v>
      </c>
      <c r="CF324" s="5">
        <f>29/$CF$3</f>
        <v>0.1380952380952381</v>
      </c>
      <c r="CH324">
        <v>38</v>
      </c>
      <c r="CI324" s="5">
        <f>CH324/CH371</f>
        <v>0.17272727272727273</v>
      </c>
      <c r="CJ324" s="5">
        <f>38/$CJ$3</f>
        <v>0.17272727272727273</v>
      </c>
      <c r="CL324">
        <v>66</v>
      </c>
      <c r="CM324" s="5">
        <f>CL324/CL371</f>
        <v>0.20624999999999999</v>
      </c>
      <c r="CN324" s="5">
        <f>66/$CN$3</f>
        <v>0.20624999999999999</v>
      </c>
    </row>
    <row r="325" spans="1:93" x14ac:dyDescent="0.25">
      <c r="A325" s="1" t="s">
        <v>3</v>
      </c>
      <c r="B325">
        <v>311</v>
      </c>
      <c r="C325" s="5">
        <f>B325/B371</f>
        <v>0.311</v>
      </c>
      <c r="D325" s="5">
        <f>311/$D$3</f>
        <v>0.311</v>
      </c>
      <c r="F325">
        <v>173</v>
      </c>
      <c r="G325" s="5">
        <f>F325/F371</f>
        <v>0.36652542372881358</v>
      </c>
      <c r="H325" s="10">
        <f>173/$H$3</f>
        <v>0.36652542372881358</v>
      </c>
      <c r="J325">
        <v>91</v>
      </c>
      <c r="K325" s="5">
        <f>J325/J371</f>
        <v>0.31929824561403508</v>
      </c>
      <c r="L325" s="5">
        <f>91/$L$3</f>
        <v>0.31929824561403508</v>
      </c>
      <c r="N325">
        <v>76</v>
      </c>
      <c r="O325" s="5">
        <f>N325/N371</f>
        <v>0.32758620689655171</v>
      </c>
      <c r="P325" s="5">
        <f>76/$P$3</f>
        <v>0.32758620689655171</v>
      </c>
      <c r="R325">
        <v>107</v>
      </c>
      <c r="S325" s="5">
        <f>R325/R371</f>
        <v>0.36394557823129253</v>
      </c>
      <c r="T325" s="10">
        <f>107/$T$3</f>
        <v>0.36394557823129253</v>
      </c>
      <c r="V325">
        <v>150</v>
      </c>
      <c r="W325" s="5">
        <f>V325/V371</f>
        <v>0.36057692307692307</v>
      </c>
      <c r="X325" s="5">
        <f>150/$X$3</f>
        <v>0.36057692307692307</v>
      </c>
      <c r="Z325">
        <v>151</v>
      </c>
      <c r="AA325" s="5">
        <f>Z325/Z371</f>
        <v>0.35952380952380952</v>
      </c>
      <c r="AB325" s="5">
        <f>151/$AB$3</f>
        <v>0.35952380952380952</v>
      </c>
      <c r="AD325">
        <v>157</v>
      </c>
      <c r="AE325" s="5">
        <f>AD325/AD371</f>
        <v>0.314</v>
      </c>
      <c r="AF325" s="5">
        <f>157/$AF$3</f>
        <v>0.314</v>
      </c>
      <c r="AH325">
        <v>154</v>
      </c>
      <c r="AI325" s="5">
        <f>AH325/AH371</f>
        <v>0.308</v>
      </c>
      <c r="AJ325" s="5">
        <f>154/$AJ$3</f>
        <v>0.308</v>
      </c>
      <c r="AL325">
        <v>0</v>
      </c>
      <c r="AM325" s="5">
        <f>AL325/AL371</f>
        <v>0</v>
      </c>
      <c r="AN325" s="11">
        <f t="shared" ref="AN325:AN327" si="1">0/$AN$3</f>
        <v>0</v>
      </c>
      <c r="AP325">
        <v>311</v>
      </c>
      <c r="AQ325" s="5">
        <f>AP325/AP371</f>
        <v>1</v>
      </c>
      <c r="AR325" s="5">
        <f>311/$AR$3</f>
        <v>1</v>
      </c>
      <c r="AS325" s="12"/>
      <c r="AT325">
        <v>0</v>
      </c>
      <c r="AU325" s="5">
        <f>AT325/AT371</f>
        <v>0</v>
      </c>
      <c r="AV325" s="11">
        <f>0/$AV$3</f>
        <v>0</v>
      </c>
      <c r="AX325">
        <v>0</v>
      </c>
      <c r="AY325" s="5">
        <f>AX325/AX371</f>
        <v>0</v>
      </c>
      <c r="AZ325" s="11">
        <f t="shared" si="0"/>
        <v>0</v>
      </c>
      <c r="BB325">
        <v>112</v>
      </c>
      <c r="BC325" s="5">
        <f>BB325/BB371</f>
        <v>0.27586206896551724</v>
      </c>
      <c r="BD325" s="5">
        <f>112/$BD$3</f>
        <v>0.27586206896551724</v>
      </c>
      <c r="BF325">
        <v>115</v>
      </c>
      <c r="BG325" s="5">
        <f>BF325/BF371</f>
        <v>0.30913978494623656</v>
      </c>
      <c r="BH325" s="5">
        <f>115/$BH$3</f>
        <v>0.30913978494623656</v>
      </c>
      <c r="BJ325">
        <v>84</v>
      </c>
      <c r="BK325" s="5">
        <f>BJ325/BJ371</f>
        <v>0.3783783783783784</v>
      </c>
      <c r="BL325" s="10">
        <f>84/$BL$3</f>
        <v>0.3783783783783784</v>
      </c>
      <c r="BN325">
        <v>123</v>
      </c>
      <c r="BO325" s="5">
        <f>BN325/BN371</f>
        <v>0.3236842105263158</v>
      </c>
      <c r="BP325" s="5">
        <f>123/$BP$3</f>
        <v>0.3236842105263158</v>
      </c>
      <c r="BR325">
        <v>106</v>
      </c>
      <c r="BS325" s="5">
        <f>BR325/BR371</f>
        <v>0.2864864864864865</v>
      </c>
      <c r="BT325" s="5">
        <f>106/$BT$3</f>
        <v>0.2864864864864865</v>
      </c>
      <c r="BV325">
        <v>82</v>
      </c>
      <c r="BW325" s="5">
        <f>BV325/BV371</f>
        <v>0.32800000000000001</v>
      </c>
      <c r="BX325" s="5">
        <f>82/$BX$3</f>
        <v>0.32800000000000001</v>
      </c>
      <c r="BZ325">
        <v>83</v>
      </c>
      <c r="CA325" s="5">
        <f>BZ325/BZ371</f>
        <v>0.33200000000000002</v>
      </c>
      <c r="CB325" s="5">
        <f>83/$CB$3</f>
        <v>0.33200000000000002</v>
      </c>
      <c r="CD325">
        <v>59</v>
      </c>
      <c r="CE325" s="5">
        <f>CD325/CD371</f>
        <v>0.28095238095238095</v>
      </c>
      <c r="CF325" s="5">
        <f>59/$CF$3</f>
        <v>0.28095238095238095</v>
      </c>
      <c r="CH325">
        <v>70</v>
      </c>
      <c r="CI325" s="5">
        <f>CH325/CH371</f>
        <v>0.31818181818181818</v>
      </c>
      <c r="CJ325" s="5">
        <f>70/$CJ$3</f>
        <v>0.31818181818181818</v>
      </c>
      <c r="CL325">
        <v>99</v>
      </c>
      <c r="CM325" s="5">
        <f>CL325/CL371</f>
        <v>0.30937500000000001</v>
      </c>
      <c r="CN325" s="5">
        <f>99/$CN$3</f>
        <v>0.30937500000000001</v>
      </c>
    </row>
    <row r="326" spans="1:93" x14ac:dyDescent="0.25">
      <c r="A326" s="1" t="s">
        <v>4</v>
      </c>
      <c r="B326">
        <v>390</v>
      </c>
      <c r="C326" s="5">
        <f>B326/B371</f>
        <v>0.39</v>
      </c>
      <c r="D326" s="5">
        <f>390/$D$3</f>
        <v>0.39</v>
      </c>
      <c r="F326">
        <v>168</v>
      </c>
      <c r="G326" s="5">
        <f>F326/F371</f>
        <v>0.3559322033898305</v>
      </c>
      <c r="H326" s="5">
        <f>168/$H$3</f>
        <v>0.3559322033898305</v>
      </c>
      <c r="J326">
        <v>120</v>
      </c>
      <c r="K326" s="5">
        <f>J326/J371</f>
        <v>0.42105263157894735</v>
      </c>
      <c r="L326" s="5">
        <f>120/$L$3</f>
        <v>0.42105263157894735</v>
      </c>
      <c r="N326">
        <v>101</v>
      </c>
      <c r="O326" s="5">
        <f>N326/N371</f>
        <v>0.43534482758620691</v>
      </c>
      <c r="P326" s="5">
        <f>101/$P$3</f>
        <v>0.43534482758620691</v>
      </c>
      <c r="R326">
        <v>97</v>
      </c>
      <c r="S326" s="5">
        <f>R326/R371</f>
        <v>0.32993197278911562</v>
      </c>
      <c r="T326" s="11">
        <f>97/$T$3</f>
        <v>0.32993197278911562</v>
      </c>
      <c r="V326">
        <v>153</v>
      </c>
      <c r="W326" s="5">
        <f>V326/V371</f>
        <v>0.36778846153846156</v>
      </c>
      <c r="X326" s="5">
        <f>153/$X$3</f>
        <v>0.36778846153846156</v>
      </c>
      <c r="Z326">
        <v>153</v>
      </c>
      <c r="AA326" s="5">
        <f>Z326/Z371</f>
        <v>0.36428571428571427</v>
      </c>
      <c r="AB326" s="5">
        <f>153/$AB$3</f>
        <v>0.36428571428571427</v>
      </c>
      <c r="AD326">
        <v>209</v>
      </c>
      <c r="AE326" s="5">
        <f>AD326/AD371</f>
        <v>0.41799999999999998</v>
      </c>
      <c r="AF326" s="5">
        <f>209/$AF$3</f>
        <v>0.41799999999999998</v>
      </c>
      <c r="AH326">
        <v>181</v>
      </c>
      <c r="AI326" s="5">
        <f>AH326/AH371</f>
        <v>0.36199999999999999</v>
      </c>
      <c r="AJ326" s="5">
        <f>181/$AJ$3</f>
        <v>0.36199999999999999</v>
      </c>
      <c r="AL326">
        <v>0</v>
      </c>
      <c r="AM326" s="5">
        <f>AL326/AL371</f>
        <v>0</v>
      </c>
      <c r="AN326" s="11">
        <f t="shared" si="1"/>
        <v>0</v>
      </c>
      <c r="AP326">
        <v>0</v>
      </c>
      <c r="AQ326" s="5">
        <f>AP326/AP371</f>
        <v>0</v>
      </c>
      <c r="AR326" s="11">
        <f>0/$AR$3</f>
        <v>0</v>
      </c>
      <c r="AT326">
        <v>390</v>
      </c>
      <c r="AU326" s="5">
        <f>AT326/AT371</f>
        <v>1</v>
      </c>
      <c r="AV326" s="5">
        <f>390/$AV$3</f>
        <v>1</v>
      </c>
      <c r="AW326" s="12"/>
      <c r="AX326">
        <v>0</v>
      </c>
      <c r="AY326" s="5">
        <f>AX326/AX371</f>
        <v>0</v>
      </c>
      <c r="AZ326" s="11">
        <f t="shared" si="0"/>
        <v>0</v>
      </c>
      <c r="BB326">
        <v>171</v>
      </c>
      <c r="BC326" s="5">
        <f>BB326/BB371</f>
        <v>0.4211822660098522</v>
      </c>
      <c r="BD326" s="5">
        <f>171/$BD$3</f>
        <v>0.4211822660098522</v>
      </c>
      <c r="BE326" s="12"/>
      <c r="BF326">
        <v>150</v>
      </c>
      <c r="BG326" s="5">
        <f>BF326/BF371</f>
        <v>0.40322580645161288</v>
      </c>
      <c r="BH326" s="5">
        <f>150/$BH$3</f>
        <v>0.40322580645161288</v>
      </c>
      <c r="BJ326">
        <v>69</v>
      </c>
      <c r="BK326" s="5">
        <f>BJ326/BJ371</f>
        <v>0.3108108108108108</v>
      </c>
      <c r="BL326" s="11">
        <f>69/$BL$3</f>
        <v>0.3108108108108108</v>
      </c>
      <c r="BN326">
        <v>143</v>
      </c>
      <c r="BO326" s="5">
        <f>BN326/BN371</f>
        <v>0.37631578947368421</v>
      </c>
      <c r="BP326" s="5">
        <f>143/$BP$3</f>
        <v>0.37631578947368421</v>
      </c>
      <c r="BR326">
        <v>151</v>
      </c>
      <c r="BS326" s="5">
        <f>BR326/BR371</f>
        <v>0.4081081081081081</v>
      </c>
      <c r="BT326" s="5">
        <f>151/$BT$3</f>
        <v>0.4081081081081081</v>
      </c>
      <c r="BV326">
        <v>96</v>
      </c>
      <c r="BW326" s="5">
        <f>BV326/BV371</f>
        <v>0.38400000000000001</v>
      </c>
      <c r="BX326" s="5">
        <f>96/$BX$3</f>
        <v>0.38400000000000001</v>
      </c>
      <c r="BZ326">
        <v>102</v>
      </c>
      <c r="CA326" s="5">
        <f>BZ326/BZ371</f>
        <v>0.40799999999999997</v>
      </c>
      <c r="CB326" s="5">
        <f>102/$CB$3</f>
        <v>0.40799999999999997</v>
      </c>
      <c r="CD326">
        <v>85</v>
      </c>
      <c r="CE326" s="5">
        <f>CD326/CD371</f>
        <v>0.40476190476190477</v>
      </c>
      <c r="CF326" s="5">
        <f>85/$CF$3</f>
        <v>0.40476190476190477</v>
      </c>
      <c r="CH326">
        <v>89</v>
      </c>
      <c r="CI326" s="5">
        <f>CH326/CH371</f>
        <v>0.40454545454545454</v>
      </c>
      <c r="CJ326" s="5">
        <f>89/$CJ$3</f>
        <v>0.40454545454545454</v>
      </c>
      <c r="CL326">
        <v>114</v>
      </c>
      <c r="CM326" s="5">
        <f>CL326/CL371</f>
        <v>0.35625000000000001</v>
      </c>
      <c r="CN326" s="5">
        <f>114/$CN$3</f>
        <v>0.35625000000000001</v>
      </c>
    </row>
    <row r="327" spans="1:93" x14ac:dyDescent="0.25">
      <c r="A327" s="1" t="s">
        <v>2164</v>
      </c>
      <c r="B327">
        <v>130</v>
      </c>
      <c r="C327" s="5">
        <f>B327/B371</f>
        <v>0.13</v>
      </c>
      <c r="D327" s="5">
        <f>130/$D$3</f>
        <v>0.13</v>
      </c>
      <c r="F327">
        <v>38</v>
      </c>
      <c r="G327" s="5">
        <f>F327/F371</f>
        <v>8.050847457627118E-2</v>
      </c>
      <c r="H327" s="5">
        <f>38/$H$3</f>
        <v>8.050847457627118E-2</v>
      </c>
      <c r="J327">
        <v>33</v>
      </c>
      <c r="K327" s="5">
        <f>J327/J371</f>
        <v>0.11578947368421053</v>
      </c>
      <c r="L327" s="5">
        <f>33/$L$3</f>
        <v>0.11578947368421053</v>
      </c>
      <c r="N327">
        <v>23</v>
      </c>
      <c r="O327" s="5">
        <f>N327/N371</f>
        <v>9.9137931034482762E-2</v>
      </c>
      <c r="P327" s="5">
        <f>23/$P$3</f>
        <v>9.9137931034482762E-2</v>
      </c>
      <c r="R327">
        <v>20</v>
      </c>
      <c r="S327" s="5">
        <f>R327/R371</f>
        <v>6.8027210884353748E-2</v>
      </c>
      <c r="T327" s="11">
        <f>20/$T$3</f>
        <v>6.8027210884353748E-2</v>
      </c>
      <c r="V327">
        <v>32</v>
      </c>
      <c r="W327" s="5">
        <f>V327/V371</f>
        <v>7.6923076923076927E-2</v>
      </c>
      <c r="X327" s="11">
        <f>32/$X$3</f>
        <v>7.6923076923076927E-2</v>
      </c>
      <c r="Z327">
        <v>34</v>
      </c>
      <c r="AA327" s="5">
        <f>Z327/Z371</f>
        <v>8.0952380952380956E-2</v>
      </c>
      <c r="AB327" s="5">
        <f>34/$AB$3</f>
        <v>8.0952380952380956E-2</v>
      </c>
      <c r="AD327">
        <v>56</v>
      </c>
      <c r="AE327" s="5">
        <f>AD327/AD371</f>
        <v>0.112</v>
      </c>
      <c r="AF327" s="5">
        <f>56/$AF$3</f>
        <v>0.112</v>
      </c>
      <c r="AH327">
        <v>74</v>
      </c>
      <c r="AI327" s="5">
        <f>AH327/AH371</f>
        <v>0.14799999999999999</v>
      </c>
      <c r="AJ327" s="5">
        <f>74/$AJ$3</f>
        <v>0.14799999999999999</v>
      </c>
      <c r="AL327">
        <v>0</v>
      </c>
      <c r="AM327" s="5">
        <f>AL327/AL371</f>
        <v>0</v>
      </c>
      <c r="AN327" s="11">
        <f t="shared" si="1"/>
        <v>0</v>
      </c>
      <c r="AP327">
        <v>0</v>
      </c>
      <c r="AQ327" s="5">
        <f>AP327/AP371</f>
        <v>0</v>
      </c>
      <c r="AR327" s="11">
        <f>0/$AR$3</f>
        <v>0</v>
      </c>
      <c r="AT327">
        <v>0</v>
      </c>
      <c r="AU327" s="5">
        <f>AT327/AT371</f>
        <v>0</v>
      </c>
      <c r="AV327" s="11">
        <f>0/$AV$3</f>
        <v>0</v>
      </c>
      <c r="AX327">
        <v>130</v>
      </c>
      <c r="AY327" s="5">
        <f>AX327/AX371</f>
        <v>1</v>
      </c>
      <c r="AZ327" s="5">
        <f>130/$AZ$3</f>
        <v>1</v>
      </c>
      <c r="BA327" s="12"/>
      <c r="BB327">
        <v>56</v>
      </c>
      <c r="BC327" s="5">
        <f>BB327/BB371</f>
        <v>0.13793103448275862</v>
      </c>
      <c r="BD327" s="5">
        <f>56/$BD$3</f>
        <v>0.13793103448275862</v>
      </c>
      <c r="BF327">
        <v>47</v>
      </c>
      <c r="BG327" s="5">
        <f>BF327/BF371</f>
        <v>0.12634408602150538</v>
      </c>
      <c r="BH327" s="5">
        <f>47/$BH$3</f>
        <v>0.12634408602150538</v>
      </c>
      <c r="BJ327">
        <v>27</v>
      </c>
      <c r="BK327" s="5">
        <f>BJ327/BJ371</f>
        <v>0.12162162162162163</v>
      </c>
      <c r="BL327" s="5">
        <f>27/$BL$3</f>
        <v>0.12162162162162163</v>
      </c>
      <c r="BN327">
        <v>55</v>
      </c>
      <c r="BO327" s="5">
        <f>BN327/BN371</f>
        <v>0.14473684210526316</v>
      </c>
      <c r="BP327" s="5">
        <f>55/$BP$3</f>
        <v>0.14473684210526316</v>
      </c>
      <c r="BR327">
        <v>54</v>
      </c>
      <c r="BS327" s="5">
        <f>BR327/BR371</f>
        <v>0.14594594594594595</v>
      </c>
      <c r="BT327" s="5">
        <f>54/$BT$3</f>
        <v>0.14594594594594595</v>
      </c>
      <c r="BV327">
        <v>21</v>
      </c>
      <c r="BW327" s="5">
        <f>BV327/BV371</f>
        <v>8.4000000000000005E-2</v>
      </c>
      <c r="BX327" s="5">
        <f>21/$BX$3</f>
        <v>8.4000000000000005E-2</v>
      </c>
      <c r="BZ327">
        <v>29</v>
      </c>
      <c r="CA327" s="5">
        <f>BZ327/BZ371</f>
        <v>0.11600000000000001</v>
      </c>
      <c r="CB327" s="5">
        <f>29/$CB$3</f>
        <v>0.11600000000000001</v>
      </c>
      <c r="CD327">
        <v>37</v>
      </c>
      <c r="CE327" s="5">
        <f>CD327/CD371</f>
        <v>0.1761904761904762</v>
      </c>
      <c r="CF327" s="5">
        <f>37/$CF$3</f>
        <v>0.1761904761904762</v>
      </c>
      <c r="CH327">
        <v>23</v>
      </c>
      <c r="CI327" s="5">
        <f>CH327/CH371</f>
        <v>0.10454545454545454</v>
      </c>
      <c r="CJ327" s="5">
        <f>23/$CJ$3</f>
        <v>0.10454545454545454</v>
      </c>
      <c r="CL327">
        <v>41</v>
      </c>
      <c r="CM327" s="5">
        <f>CL327/CL371</f>
        <v>0.12812499999999999</v>
      </c>
      <c r="CN327" s="5">
        <f>41/$CN$3</f>
        <v>0.12812499999999999</v>
      </c>
    </row>
    <row r="328" spans="1:93" x14ac:dyDescent="0.25">
      <c r="A328" s="1" t="s">
        <v>2174</v>
      </c>
      <c r="B328">
        <v>74</v>
      </c>
      <c r="C328" s="5">
        <f>B328/B371</f>
        <v>7.3999999999999996E-2</v>
      </c>
      <c r="D328" s="5">
        <f>74/$D$3</f>
        <v>7.3999999999999996E-2</v>
      </c>
      <c r="F328">
        <v>23</v>
      </c>
      <c r="G328" s="5">
        <f>F328/F371</f>
        <v>4.8728813559322036E-2</v>
      </c>
      <c r="H328" s="5">
        <f>23/$H$3</f>
        <v>4.8728813559322036E-2</v>
      </c>
      <c r="J328">
        <v>17</v>
      </c>
      <c r="K328" s="5">
        <f>J328/J371</f>
        <v>5.9649122807017542E-2</v>
      </c>
      <c r="L328" s="5">
        <f>17/$L$3</f>
        <v>5.9649122807017542E-2</v>
      </c>
      <c r="N328">
        <v>9</v>
      </c>
      <c r="O328" s="5">
        <f>N328/N371</f>
        <v>3.8793103448275863E-2</v>
      </c>
      <c r="P328" s="5">
        <f>9/$P$3</f>
        <v>3.8793103448275863E-2</v>
      </c>
      <c r="R328">
        <v>13</v>
      </c>
      <c r="S328" s="5">
        <f>R328/R371</f>
        <v>4.4217687074829932E-2</v>
      </c>
      <c r="T328" s="5">
        <f>13/$T$3</f>
        <v>4.4217687074829932E-2</v>
      </c>
      <c r="V328">
        <v>19</v>
      </c>
      <c r="W328" s="5">
        <f>V328/V371</f>
        <v>4.567307692307692E-2</v>
      </c>
      <c r="X328" s="5">
        <f>19/$X$3</f>
        <v>4.567307692307692E-2</v>
      </c>
      <c r="Z328">
        <v>20</v>
      </c>
      <c r="AA328" s="5">
        <f>Z328/Z371</f>
        <v>4.7619047619047616E-2</v>
      </c>
      <c r="AB328" s="5">
        <f>20/$AB$3</f>
        <v>4.7619047619047616E-2</v>
      </c>
      <c r="AD328">
        <v>34</v>
      </c>
      <c r="AE328" s="5">
        <f>AD328/AD371</f>
        <v>6.8000000000000005E-2</v>
      </c>
      <c r="AF328" s="5">
        <f>34/$AF$3</f>
        <v>6.8000000000000005E-2</v>
      </c>
      <c r="AH328">
        <v>40</v>
      </c>
      <c r="AI328" s="5">
        <f>AH328/AH371</f>
        <v>0.08</v>
      </c>
      <c r="AJ328" s="5">
        <f>40/$AJ$3</f>
        <v>0.08</v>
      </c>
      <c r="AL328">
        <v>24</v>
      </c>
      <c r="AM328" s="5">
        <f>AL328/AL371</f>
        <v>0.14201183431952663</v>
      </c>
      <c r="AN328" s="10">
        <f>24/$AN$3</f>
        <v>0.14201183431952663</v>
      </c>
      <c r="AO328" s="12"/>
      <c r="AP328">
        <v>17</v>
      </c>
      <c r="AQ328" s="5">
        <f>AP328/AP371</f>
        <v>5.4662379421221867E-2</v>
      </c>
      <c r="AR328" s="5">
        <f>17/$AR$3</f>
        <v>5.4662379421221867E-2</v>
      </c>
      <c r="AT328">
        <v>22</v>
      </c>
      <c r="AU328" s="5">
        <f>AT328/AT371</f>
        <v>5.6410256410256411E-2</v>
      </c>
      <c r="AV328" s="5">
        <f>22/$AV$3</f>
        <v>5.6410256410256411E-2</v>
      </c>
      <c r="AX328">
        <v>11</v>
      </c>
      <c r="AY328" s="5">
        <f>AX328/AX371</f>
        <v>8.461538461538462E-2</v>
      </c>
      <c r="AZ328" s="5">
        <f>11/$AZ$3</f>
        <v>8.461538461538462E-2</v>
      </c>
      <c r="BB328">
        <v>74</v>
      </c>
      <c r="BC328" s="5">
        <f>BB328/BB371</f>
        <v>0.18226600985221675</v>
      </c>
      <c r="BD328" s="5">
        <f>74/$BD$3</f>
        <v>0.18226600985221675</v>
      </c>
      <c r="BE328" s="12"/>
      <c r="BF328">
        <v>0</v>
      </c>
      <c r="BG328" s="5">
        <f>BF328/BF371</f>
        <v>0</v>
      </c>
      <c r="BH328" s="11">
        <f>0/$BH$3</f>
        <v>0</v>
      </c>
      <c r="BJ328">
        <v>0</v>
      </c>
      <c r="BK328" s="5">
        <f>BJ328/BJ371</f>
        <v>0</v>
      </c>
      <c r="BL328" s="11">
        <f>0/$BL$3</f>
        <v>0</v>
      </c>
      <c r="BN328">
        <v>39</v>
      </c>
      <c r="BO328" s="5">
        <f>BN328/BN371</f>
        <v>0.10263157894736842</v>
      </c>
      <c r="BP328" s="5">
        <f>39/$BP$3</f>
        <v>0.10263157894736842</v>
      </c>
      <c r="BQ328" s="12"/>
      <c r="BR328">
        <v>25</v>
      </c>
      <c r="BS328" s="5">
        <f>BR328/BR371</f>
        <v>6.7567567567567571E-2</v>
      </c>
      <c r="BT328" s="5">
        <f>25/$BT$3</f>
        <v>6.7567567567567571E-2</v>
      </c>
      <c r="BV328">
        <v>10</v>
      </c>
      <c r="BW328" s="5">
        <f>BV328/BV371</f>
        <v>0.04</v>
      </c>
      <c r="BX328" s="5">
        <f>10/$BX$3</f>
        <v>0.04</v>
      </c>
      <c r="BZ328">
        <v>16</v>
      </c>
      <c r="CA328" s="5">
        <f>BZ328/BZ371</f>
        <v>6.4000000000000001E-2</v>
      </c>
      <c r="CB328" s="5">
        <f>16/$CB$3</f>
        <v>6.4000000000000001E-2</v>
      </c>
      <c r="CD328">
        <v>16</v>
      </c>
      <c r="CE328" s="5">
        <f>CD328/CD371</f>
        <v>7.6190476190476197E-2</v>
      </c>
      <c r="CF328" s="5">
        <f>16/$CF$3</f>
        <v>7.6190476190476197E-2</v>
      </c>
      <c r="CH328">
        <v>17</v>
      </c>
      <c r="CI328" s="5">
        <f>CH328/CH371</f>
        <v>7.7272727272727271E-2</v>
      </c>
      <c r="CJ328" s="5">
        <f>17/$CJ$3</f>
        <v>7.7272727272727271E-2</v>
      </c>
      <c r="CL328">
        <v>25</v>
      </c>
      <c r="CM328" s="5">
        <f>CL328/CL371</f>
        <v>7.8125E-2</v>
      </c>
      <c r="CN328" s="5">
        <f>25/$CN$3</f>
        <v>7.8125E-2</v>
      </c>
    </row>
    <row r="329" spans="1:93" x14ac:dyDescent="0.25">
      <c r="A329" s="1" t="s">
        <v>2175</v>
      </c>
      <c r="B329">
        <v>332</v>
      </c>
      <c r="C329" s="5">
        <f>B329/B371</f>
        <v>0.33200000000000002</v>
      </c>
      <c r="D329" s="5">
        <f>332/$D$3</f>
        <v>0.33200000000000002</v>
      </c>
      <c r="F329">
        <v>134</v>
      </c>
      <c r="G329" s="5">
        <f>F329/F371</f>
        <v>0.28389830508474578</v>
      </c>
      <c r="H329" s="5">
        <f>134/$H$3</f>
        <v>0.28389830508474578</v>
      </c>
      <c r="J329">
        <v>94</v>
      </c>
      <c r="K329" s="5">
        <f>J329/J371</f>
        <v>0.3298245614035088</v>
      </c>
      <c r="L329" s="5">
        <f>94/$L$3</f>
        <v>0.3298245614035088</v>
      </c>
      <c r="N329">
        <v>70</v>
      </c>
      <c r="O329" s="5">
        <f>N329/N371</f>
        <v>0.30172413793103448</v>
      </c>
      <c r="P329" s="5">
        <f>70/$P$3</f>
        <v>0.30172413793103448</v>
      </c>
      <c r="R329">
        <v>76</v>
      </c>
      <c r="S329" s="5">
        <f>R329/R371</f>
        <v>0.25850340136054423</v>
      </c>
      <c r="T329" s="11">
        <f>76/$T$3</f>
        <v>0.25850340136054423</v>
      </c>
      <c r="V329">
        <v>120</v>
      </c>
      <c r="W329" s="5">
        <f>V329/V371</f>
        <v>0.28846153846153844</v>
      </c>
      <c r="X329" s="5">
        <f>120/$X$3</f>
        <v>0.28846153846153844</v>
      </c>
      <c r="Z329">
        <v>118</v>
      </c>
      <c r="AA329" s="5">
        <f>Z329/Z371</f>
        <v>0.28095238095238095</v>
      </c>
      <c r="AB329" s="11">
        <f>118/$AB$3</f>
        <v>0.28095238095238095</v>
      </c>
      <c r="AD329">
        <v>174</v>
      </c>
      <c r="AE329" s="5">
        <f>AD329/AD371</f>
        <v>0.34799999999999998</v>
      </c>
      <c r="AF329" s="5">
        <f>174/$AF$3</f>
        <v>0.34799999999999998</v>
      </c>
      <c r="AH329">
        <v>158</v>
      </c>
      <c r="AI329" s="5">
        <f>AH329/AH371</f>
        <v>0.316</v>
      </c>
      <c r="AJ329" s="5">
        <f>158/$AJ$3</f>
        <v>0.316</v>
      </c>
      <c r="AL329">
        <v>43</v>
      </c>
      <c r="AM329" s="5">
        <f>AL329/AL371</f>
        <v>0.25443786982248523</v>
      </c>
      <c r="AN329" s="11">
        <f>43/$AN$3</f>
        <v>0.25443786982248523</v>
      </c>
      <c r="AP329">
        <v>95</v>
      </c>
      <c r="AQ329" s="5">
        <f>AP329/AP371</f>
        <v>0.30546623794212219</v>
      </c>
      <c r="AR329" s="5">
        <f>95/$AR$3</f>
        <v>0.30546623794212219</v>
      </c>
      <c r="AT329">
        <v>149</v>
      </c>
      <c r="AU329" s="5">
        <f>AT329/AT371</f>
        <v>0.38205128205128203</v>
      </c>
      <c r="AV329" s="10">
        <f>149/$AV$3</f>
        <v>0.38205128205128203</v>
      </c>
      <c r="AW329" s="12"/>
      <c r="AX329">
        <v>45</v>
      </c>
      <c r="AY329" s="5">
        <f>AX329/AX371</f>
        <v>0.34615384615384615</v>
      </c>
      <c r="AZ329" s="5">
        <f>45/$AZ$3</f>
        <v>0.34615384615384615</v>
      </c>
      <c r="BB329">
        <v>332</v>
      </c>
      <c r="BC329" s="5">
        <f>BB329/BB371</f>
        <v>0.81773399014778325</v>
      </c>
      <c r="BD329" s="5">
        <f>332/$BD$3</f>
        <v>0.81773399014778325</v>
      </c>
      <c r="BE329" s="12"/>
      <c r="BF329">
        <v>0</v>
      </c>
      <c r="BG329" s="5">
        <f>BF329/BF371</f>
        <v>0</v>
      </c>
      <c r="BH329" s="11">
        <f>0/$BH$3</f>
        <v>0</v>
      </c>
      <c r="BJ329">
        <v>0</v>
      </c>
      <c r="BK329" s="5">
        <f>BJ329/BJ371</f>
        <v>0</v>
      </c>
      <c r="BL329" s="11">
        <f>0/$BL$3</f>
        <v>0</v>
      </c>
      <c r="BN329">
        <v>167</v>
      </c>
      <c r="BO329" s="5">
        <f>BN329/BN371</f>
        <v>0.43947368421052629</v>
      </c>
      <c r="BP329" s="10">
        <f>167/$BP$3</f>
        <v>0.43947368421052629</v>
      </c>
      <c r="BQ329" s="12"/>
      <c r="BR329">
        <v>94</v>
      </c>
      <c r="BS329" s="5">
        <f>BR329/BR371</f>
        <v>0.25405405405405407</v>
      </c>
      <c r="BT329" s="11">
        <f>94/$BT$3</f>
        <v>0.25405405405405407</v>
      </c>
      <c r="BV329">
        <v>71</v>
      </c>
      <c r="BW329" s="5">
        <f>BV329/BV371</f>
        <v>0.28399999999999997</v>
      </c>
      <c r="BX329" s="5">
        <f>71/$BX$3</f>
        <v>0.28399999999999997</v>
      </c>
      <c r="BZ329">
        <v>88</v>
      </c>
      <c r="CA329" s="5">
        <f>BZ329/BZ371</f>
        <v>0.35199999999999998</v>
      </c>
      <c r="CB329" s="5">
        <f>88/$CB$3</f>
        <v>0.35199999999999998</v>
      </c>
      <c r="CC329" s="12"/>
      <c r="CD329">
        <v>86</v>
      </c>
      <c r="CE329" s="5">
        <f>CD329/CD371</f>
        <v>0.40952380952380951</v>
      </c>
      <c r="CF329" s="10">
        <f>86/$CF$3</f>
        <v>0.40952380952380951</v>
      </c>
      <c r="CG329" s="12"/>
      <c r="CH329">
        <v>83</v>
      </c>
      <c r="CI329" s="5">
        <f>CH329/CH371</f>
        <v>0.37727272727272726</v>
      </c>
      <c r="CJ329" s="5">
        <f>83/$CJ$3</f>
        <v>0.37727272727272726</v>
      </c>
      <c r="CK329" s="12"/>
      <c r="CL329">
        <v>75</v>
      </c>
      <c r="CM329" s="5">
        <f>CL329/CL371</f>
        <v>0.234375</v>
      </c>
      <c r="CN329" s="11">
        <f>75/$CN$3</f>
        <v>0.234375</v>
      </c>
    </row>
    <row r="330" spans="1:93" x14ac:dyDescent="0.25">
      <c r="A330" s="1" t="s">
        <v>2176</v>
      </c>
      <c r="B330">
        <v>372</v>
      </c>
      <c r="C330" s="5">
        <f>B330/B371</f>
        <v>0.372</v>
      </c>
      <c r="D330" s="5">
        <f>372/$D$3</f>
        <v>0.372</v>
      </c>
      <c r="F330">
        <v>183</v>
      </c>
      <c r="G330" s="5">
        <f>F330/F371</f>
        <v>0.38771186440677968</v>
      </c>
      <c r="H330" s="5">
        <f>183/$H$3</f>
        <v>0.38771186440677968</v>
      </c>
      <c r="J330">
        <v>103</v>
      </c>
      <c r="K330" s="5">
        <f>J330/J371</f>
        <v>0.36140350877192984</v>
      </c>
      <c r="L330" s="5">
        <f>103/$L$3</f>
        <v>0.36140350877192984</v>
      </c>
      <c r="N330">
        <v>83</v>
      </c>
      <c r="O330" s="5">
        <f>N330/N371</f>
        <v>0.35775862068965519</v>
      </c>
      <c r="P330" s="5">
        <f>83/$P$3</f>
        <v>0.35775862068965519</v>
      </c>
      <c r="R330">
        <v>120</v>
      </c>
      <c r="S330" s="5">
        <f>R330/R371</f>
        <v>0.40816326530612246</v>
      </c>
      <c r="T330" s="5">
        <f>120/$T$3</f>
        <v>0.40816326530612246</v>
      </c>
      <c r="V330">
        <v>159</v>
      </c>
      <c r="W330" s="5">
        <f>V330/V371</f>
        <v>0.38221153846153844</v>
      </c>
      <c r="X330" s="5">
        <f>159/$X$3</f>
        <v>0.38221153846153844</v>
      </c>
      <c r="Z330">
        <v>160</v>
      </c>
      <c r="AA330" s="5">
        <f>Z330/Z371</f>
        <v>0.38095238095238093</v>
      </c>
      <c r="AB330" s="5">
        <f>160/$AB$3</f>
        <v>0.38095238095238093</v>
      </c>
      <c r="AD330">
        <v>181</v>
      </c>
      <c r="AE330" s="5">
        <f>AD330/AD371</f>
        <v>0.36199999999999999</v>
      </c>
      <c r="AF330" s="5">
        <f>181/$AF$3</f>
        <v>0.36199999999999999</v>
      </c>
      <c r="AH330">
        <v>191</v>
      </c>
      <c r="AI330" s="5">
        <f>AH330/AH371</f>
        <v>0.38200000000000001</v>
      </c>
      <c r="AJ330" s="5">
        <f>191/$AJ$3</f>
        <v>0.38200000000000001</v>
      </c>
      <c r="AL330">
        <v>60</v>
      </c>
      <c r="AM330" s="5">
        <f>AL330/AL371</f>
        <v>0.35502958579881655</v>
      </c>
      <c r="AN330" s="5">
        <f>60/$AN$3</f>
        <v>0.35502958579881655</v>
      </c>
      <c r="AP330">
        <v>115</v>
      </c>
      <c r="AQ330" s="5">
        <f>AP330/AP371</f>
        <v>0.36977491961414793</v>
      </c>
      <c r="AR330" s="5">
        <f>115/$AR$3</f>
        <v>0.36977491961414793</v>
      </c>
      <c r="AT330">
        <v>150</v>
      </c>
      <c r="AU330" s="5">
        <f>AT330/AT371</f>
        <v>0.38461538461538464</v>
      </c>
      <c r="AV330" s="5">
        <f>150/$AV$3</f>
        <v>0.38461538461538464</v>
      </c>
      <c r="AX330">
        <v>47</v>
      </c>
      <c r="AY330" s="5">
        <f>AX330/AX371</f>
        <v>0.36153846153846153</v>
      </c>
      <c r="AZ330" s="5">
        <f>47/$AZ$3</f>
        <v>0.36153846153846153</v>
      </c>
      <c r="BB330">
        <v>0</v>
      </c>
      <c r="BC330" s="5">
        <f>BB330/BB371</f>
        <v>0</v>
      </c>
      <c r="BD330" s="11">
        <f>0/$BD$3</f>
        <v>0</v>
      </c>
      <c r="BF330">
        <v>372</v>
      </c>
      <c r="BG330" s="5">
        <f>BF330/BF371</f>
        <v>1</v>
      </c>
      <c r="BH330" s="5">
        <f>372/$BH$3</f>
        <v>1</v>
      </c>
      <c r="BI330" s="12"/>
      <c r="BJ330">
        <v>0</v>
      </c>
      <c r="BK330" s="5">
        <f>BJ330/BJ371</f>
        <v>0</v>
      </c>
      <c r="BL330" s="11">
        <f>0/$BL$3</f>
        <v>0</v>
      </c>
      <c r="BN330">
        <v>115</v>
      </c>
      <c r="BO330" s="5">
        <f>BN330/BN371</f>
        <v>0.30263157894736842</v>
      </c>
      <c r="BP330" s="11">
        <f>115/$BP$3</f>
        <v>0.30263157894736842</v>
      </c>
      <c r="BR330">
        <v>169</v>
      </c>
      <c r="BS330" s="5">
        <f>BR330/BR371</f>
        <v>0.45675675675675675</v>
      </c>
      <c r="BT330" s="10">
        <f>169/$BT$3</f>
        <v>0.45675675675675675</v>
      </c>
      <c r="BU330" s="12"/>
      <c r="BV330">
        <v>88</v>
      </c>
      <c r="BW330" s="5">
        <f>BV330/BV371</f>
        <v>0.35199999999999998</v>
      </c>
      <c r="BX330" s="5">
        <f>88/$BX$3</f>
        <v>0.35199999999999998</v>
      </c>
      <c r="BZ330">
        <v>92</v>
      </c>
      <c r="CA330" s="5">
        <f>BZ330/BZ371</f>
        <v>0.36799999999999999</v>
      </c>
      <c r="CB330" s="5">
        <f>92/$CB$3</f>
        <v>0.36799999999999999</v>
      </c>
      <c r="CD330">
        <v>66</v>
      </c>
      <c r="CE330" s="5">
        <f>CD330/CD371</f>
        <v>0.31428571428571428</v>
      </c>
      <c r="CF330" s="5">
        <f>66/$CF$3</f>
        <v>0.31428571428571428</v>
      </c>
      <c r="CH330">
        <v>82</v>
      </c>
      <c r="CI330" s="5">
        <f>CH330/CH371</f>
        <v>0.37272727272727274</v>
      </c>
      <c r="CJ330" s="5">
        <f>82/$CJ$3</f>
        <v>0.37272727272727274</v>
      </c>
      <c r="CL330">
        <v>132</v>
      </c>
      <c r="CM330" s="5">
        <f>CL330/CL371</f>
        <v>0.41249999999999998</v>
      </c>
      <c r="CN330" s="5">
        <f>132/$CN$3</f>
        <v>0.41249999999999998</v>
      </c>
    </row>
    <row r="331" spans="1:93" x14ac:dyDescent="0.25">
      <c r="A331" s="1" t="s">
        <v>2177</v>
      </c>
      <c r="B331">
        <v>222</v>
      </c>
      <c r="C331" s="5">
        <f>B331/B371</f>
        <v>0.222</v>
      </c>
      <c r="D331" s="5">
        <f>222/$D$3</f>
        <v>0.222</v>
      </c>
      <c r="F331">
        <v>132</v>
      </c>
      <c r="G331" s="5">
        <f>F331/F371</f>
        <v>0.27966101694915252</v>
      </c>
      <c r="H331" s="10">
        <f>132/$H$3</f>
        <v>0.27966101694915252</v>
      </c>
      <c r="J331">
        <v>71</v>
      </c>
      <c r="K331" s="5">
        <f>J331/J371</f>
        <v>0.24912280701754386</v>
      </c>
      <c r="L331" s="5">
        <f>71/$L$3</f>
        <v>0.24912280701754386</v>
      </c>
      <c r="N331">
        <v>70</v>
      </c>
      <c r="O331" s="5">
        <f>N331/N371</f>
        <v>0.30172413793103448</v>
      </c>
      <c r="P331" s="10">
        <f>70/$P$3</f>
        <v>0.30172413793103448</v>
      </c>
      <c r="R331">
        <v>85</v>
      </c>
      <c r="S331" s="5">
        <f>R331/R371</f>
        <v>0.28911564625850339</v>
      </c>
      <c r="T331" s="10">
        <f>85/$T$3</f>
        <v>0.28911564625850339</v>
      </c>
      <c r="V331">
        <v>118</v>
      </c>
      <c r="W331" s="5">
        <f>V331/V371</f>
        <v>0.28365384615384615</v>
      </c>
      <c r="X331" s="10">
        <f>118/$X$3</f>
        <v>0.28365384615384615</v>
      </c>
      <c r="Z331">
        <v>122</v>
      </c>
      <c r="AA331" s="5">
        <f>Z331/Z371</f>
        <v>0.2904761904761905</v>
      </c>
      <c r="AB331" s="10">
        <f>122/$AB$3</f>
        <v>0.2904761904761905</v>
      </c>
      <c r="AD331">
        <v>111</v>
      </c>
      <c r="AE331" s="5">
        <f>AD331/AD371</f>
        <v>0.222</v>
      </c>
      <c r="AF331" s="5">
        <f>111/$AF$3</f>
        <v>0.222</v>
      </c>
      <c r="AH331">
        <v>111</v>
      </c>
      <c r="AI331" s="5">
        <f>AH331/AH371</f>
        <v>0.222</v>
      </c>
      <c r="AJ331" s="5">
        <f>111/$AJ$3</f>
        <v>0.222</v>
      </c>
      <c r="AL331">
        <v>42</v>
      </c>
      <c r="AM331" s="5">
        <f>AL331/AL371</f>
        <v>0.24852071005917159</v>
      </c>
      <c r="AN331" s="5">
        <f>42/$AN$3</f>
        <v>0.24852071005917159</v>
      </c>
      <c r="AP331">
        <v>84</v>
      </c>
      <c r="AQ331" s="5">
        <f>AP331/AP371</f>
        <v>0.27009646302250806</v>
      </c>
      <c r="AR331" s="5">
        <f>84/$AR$3</f>
        <v>0.27009646302250806</v>
      </c>
      <c r="AS331" s="12"/>
      <c r="AT331">
        <v>69</v>
      </c>
      <c r="AU331" s="5">
        <f>AT331/AT371</f>
        <v>0.17692307692307693</v>
      </c>
      <c r="AV331" s="5">
        <f>69/$AV$3</f>
        <v>0.17692307692307693</v>
      </c>
      <c r="AX331">
        <v>27</v>
      </c>
      <c r="AY331" s="5">
        <f>AX331/AX371</f>
        <v>0.2076923076923077</v>
      </c>
      <c r="AZ331" s="5">
        <f>27/$AZ$3</f>
        <v>0.2076923076923077</v>
      </c>
      <c r="BB331">
        <v>0</v>
      </c>
      <c r="BC331" s="5">
        <f>BB331/BB371</f>
        <v>0</v>
      </c>
      <c r="BD331" s="11">
        <f>0/$BD$3</f>
        <v>0</v>
      </c>
      <c r="BF331">
        <v>0</v>
      </c>
      <c r="BG331" s="5">
        <f>BF331/BF371</f>
        <v>0</v>
      </c>
      <c r="BH331" s="11">
        <f>0/$BH$3</f>
        <v>0</v>
      </c>
      <c r="BJ331">
        <v>222</v>
      </c>
      <c r="BK331" s="5">
        <f>BJ331/BJ371</f>
        <v>1</v>
      </c>
      <c r="BL331" s="5">
        <f>222/$BL$3</f>
        <v>1</v>
      </c>
      <c r="BM331" s="12"/>
      <c r="BN331">
        <v>59</v>
      </c>
      <c r="BO331" s="5">
        <f>BN331/BN371</f>
        <v>0.15526315789473685</v>
      </c>
      <c r="BP331" s="11">
        <f>59/$BP$3</f>
        <v>0.15526315789473685</v>
      </c>
      <c r="BR331">
        <v>82</v>
      </c>
      <c r="BS331" s="5">
        <f>BR331/BR371</f>
        <v>0.22162162162162163</v>
      </c>
      <c r="BT331" s="5">
        <f>82/$BT$3</f>
        <v>0.22162162162162163</v>
      </c>
      <c r="BV331">
        <v>81</v>
      </c>
      <c r="BW331" s="5">
        <f>BV331/BV371</f>
        <v>0.32400000000000001</v>
      </c>
      <c r="BX331" s="10">
        <f>81/$BX$3</f>
        <v>0.32400000000000001</v>
      </c>
      <c r="BY331" s="12"/>
      <c r="BZ331">
        <v>54</v>
      </c>
      <c r="CA331" s="5">
        <f>BZ331/BZ371</f>
        <v>0.216</v>
      </c>
      <c r="CB331" s="5">
        <f>54/$CB$3</f>
        <v>0.216</v>
      </c>
      <c r="CD331">
        <v>42</v>
      </c>
      <c r="CE331" s="5">
        <f>CD331/CD371</f>
        <v>0.2</v>
      </c>
      <c r="CF331" s="5">
        <f>42/$CF$3</f>
        <v>0.2</v>
      </c>
      <c r="CH331">
        <v>38</v>
      </c>
      <c r="CI331" s="5">
        <f>CH331/CH371</f>
        <v>0.17272727272727273</v>
      </c>
      <c r="CJ331" s="5">
        <f>38/$CJ$3</f>
        <v>0.17272727272727273</v>
      </c>
      <c r="CL331">
        <v>88</v>
      </c>
      <c r="CM331" s="5">
        <f>CL331/CL371</f>
        <v>0.27500000000000002</v>
      </c>
      <c r="CN331" s="10">
        <f>88/$CN$3</f>
        <v>0.27500000000000002</v>
      </c>
      <c r="CO331" s="12"/>
    </row>
    <row r="332" spans="1:93" x14ac:dyDescent="0.25">
      <c r="A332" s="1" t="s">
        <v>2165</v>
      </c>
      <c r="B332">
        <v>250</v>
      </c>
      <c r="C332" s="5">
        <f>B332/B371</f>
        <v>0.25</v>
      </c>
      <c r="D332" s="5">
        <f>250/$D$3</f>
        <v>0.25</v>
      </c>
      <c r="F332">
        <v>113</v>
      </c>
      <c r="G332" s="5">
        <f>F332/F371</f>
        <v>0.23940677966101695</v>
      </c>
      <c r="H332" s="5">
        <f>113/$H$3</f>
        <v>0.23940677966101695</v>
      </c>
      <c r="J332">
        <v>76</v>
      </c>
      <c r="K332" s="5">
        <f>J332/J371</f>
        <v>0.26666666666666666</v>
      </c>
      <c r="L332" s="5">
        <f>76/$L$3</f>
        <v>0.26666666666666666</v>
      </c>
      <c r="N332">
        <v>57</v>
      </c>
      <c r="O332" s="5">
        <f>N332/N371</f>
        <v>0.24568965517241378</v>
      </c>
      <c r="P332" s="5">
        <f>57/$P$3</f>
        <v>0.24568965517241378</v>
      </c>
      <c r="R332">
        <v>62</v>
      </c>
      <c r="S332" s="5">
        <f>R332/R371</f>
        <v>0.21088435374149661</v>
      </c>
      <c r="T332" s="5">
        <f>62/$T$3</f>
        <v>0.21088435374149661</v>
      </c>
      <c r="V332">
        <v>103</v>
      </c>
      <c r="W332" s="5">
        <f>V332/V371</f>
        <v>0.24759615384615385</v>
      </c>
      <c r="X332" s="5">
        <f>103/$X$3</f>
        <v>0.24759615384615385</v>
      </c>
      <c r="Z332">
        <v>97</v>
      </c>
      <c r="AA332" s="5">
        <f>Z332/Z371</f>
        <v>0.23095238095238096</v>
      </c>
      <c r="AB332" s="5">
        <f>97/$AB$3</f>
        <v>0.23095238095238096</v>
      </c>
      <c r="AD332">
        <v>120</v>
      </c>
      <c r="AE332" s="5">
        <f>AD332/AD371</f>
        <v>0.24</v>
      </c>
      <c r="AF332" s="5">
        <f>120/$AF$3</f>
        <v>0.24</v>
      </c>
      <c r="AH332">
        <v>130</v>
      </c>
      <c r="AI332" s="5">
        <f>AH332/AH371</f>
        <v>0.26</v>
      </c>
      <c r="AJ332" s="5">
        <f>130/$AJ$3</f>
        <v>0.26</v>
      </c>
      <c r="AL332">
        <v>36</v>
      </c>
      <c r="AM332" s="5">
        <f>AL332/AL371</f>
        <v>0.21301775147928995</v>
      </c>
      <c r="AN332" s="5">
        <f>36/$AN$3</f>
        <v>0.21301775147928995</v>
      </c>
      <c r="AP332">
        <v>83</v>
      </c>
      <c r="AQ332" s="5">
        <f>AP332/AP371</f>
        <v>0.26688102893890675</v>
      </c>
      <c r="AR332" s="5">
        <f>83/$AR$3</f>
        <v>0.26688102893890675</v>
      </c>
      <c r="AT332">
        <v>102</v>
      </c>
      <c r="AU332" s="5">
        <f>AT332/AT371</f>
        <v>0.26153846153846155</v>
      </c>
      <c r="AV332" s="5">
        <f>102/$AV$3</f>
        <v>0.26153846153846155</v>
      </c>
      <c r="AX332">
        <v>29</v>
      </c>
      <c r="AY332" s="5">
        <f>AX332/AX371</f>
        <v>0.22307692307692309</v>
      </c>
      <c r="AZ332" s="5">
        <f>29/$AZ$3</f>
        <v>0.22307692307692309</v>
      </c>
      <c r="BB332">
        <v>104</v>
      </c>
      <c r="BC332" s="5">
        <f>BB332/BB371</f>
        <v>0.25615763546798032</v>
      </c>
      <c r="BD332" s="5">
        <f>104/$BD$3</f>
        <v>0.25615763546798032</v>
      </c>
      <c r="BF332">
        <v>92</v>
      </c>
      <c r="BG332" s="5">
        <f>BF332/BF371</f>
        <v>0.24731182795698925</v>
      </c>
      <c r="BH332" s="5">
        <f>92/$BH$3</f>
        <v>0.24731182795698925</v>
      </c>
      <c r="BJ332">
        <v>54</v>
      </c>
      <c r="BK332" s="5">
        <f>BJ332/BJ371</f>
        <v>0.24324324324324326</v>
      </c>
      <c r="BL332" s="5">
        <f>54/$BL$3</f>
        <v>0.24324324324324326</v>
      </c>
      <c r="BN332">
        <v>111</v>
      </c>
      <c r="BO332" s="5">
        <f>BN332/BN371</f>
        <v>0.29210526315789476</v>
      </c>
      <c r="BP332" s="5">
        <f>111/$BP$3</f>
        <v>0.29210526315789476</v>
      </c>
      <c r="BR332">
        <v>86</v>
      </c>
      <c r="BS332" s="5">
        <f>BR332/BR371</f>
        <v>0.23243243243243245</v>
      </c>
      <c r="BT332" s="5">
        <f>86/$BT$3</f>
        <v>0.23243243243243245</v>
      </c>
      <c r="BV332">
        <v>53</v>
      </c>
      <c r="BW332" s="5">
        <f>BV332/BV371</f>
        <v>0.21199999999999999</v>
      </c>
      <c r="BX332" s="5">
        <f>53/$BX$3</f>
        <v>0.21199999999999999</v>
      </c>
      <c r="BZ332">
        <v>250</v>
      </c>
      <c r="CA332" s="5">
        <f>BZ332/BZ371</f>
        <v>1</v>
      </c>
      <c r="CB332" s="5">
        <f>250/$CB$3</f>
        <v>1</v>
      </c>
      <c r="CC332" s="12"/>
      <c r="CD332">
        <v>0</v>
      </c>
      <c r="CE332" s="5">
        <f>CD332/CD371</f>
        <v>0</v>
      </c>
      <c r="CF332" s="11">
        <f>0/$CF$3</f>
        <v>0</v>
      </c>
      <c r="CH332">
        <v>0</v>
      </c>
      <c r="CI332" s="5">
        <f>CH332/CH371</f>
        <v>0</v>
      </c>
      <c r="CJ332" s="11">
        <f>0/$CJ$3</f>
        <v>0</v>
      </c>
      <c r="CL332">
        <v>0</v>
      </c>
      <c r="CM332" s="5">
        <f>CL332/CL371</f>
        <v>0</v>
      </c>
      <c r="CN332" s="11">
        <f>0/$CN$3</f>
        <v>0</v>
      </c>
    </row>
    <row r="333" spans="1:93" x14ac:dyDescent="0.25">
      <c r="A333" s="1" t="s">
        <v>2167</v>
      </c>
      <c r="B333">
        <v>210</v>
      </c>
      <c r="C333" s="5">
        <f>B333/B371</f>
        <v>0.21</v>
      </c>
      <c r="D333" s="5">
        <f>210/$D$3</f>
        <v>0.21</v>
      </c>
      <c r="F333">
        <v>94</v>
      </c>
      <c r="G333" s="5">
        <f>F333/F371</f>
        <v>0.19915254237288135</v>
      </c>
      <c r="H333" s="5">
        <f>94/$H$3</f>
        <v>0.19915254237288135</v>
      </c>
      <c r="J333">
        <v>50</v>
      </c>
      <c r="K333" s="5">
        <f>J333/J371</f>
        <v>0.17543859649122806</v>
      </c>
      <c r="L333" s="5">
        <f>50/$L$3</f>
        <v>0.17543859649122806</v>
      </c>
      <c r="N333">
        <v>45</v>
      </c>
      <c r="O333" s="5">
        <f>N333/N371</f>
        <v>0.19396551724137931</v>
      </c>
      <c r="P333" s="5">
        <f>45/$P$3</f>
        <v>0.19396551724137931</v>
      </c>
      <c r="R333">
        <v>57</v>
      </c>
      <c r="S333" s="5">
        <f>R333/R371</f>
        <v>0.19387755102040816</v>
      </c>
      <c r="T333" s="5">
        <f>57/$T$3</f>
        <v>0.19387755102040816</v>
      </c>
      <c r="V333">
        <v>86</v>
      </c>
      <c r="W333" s="5">
        <f>V333/V371</f>
        <v>0.20673076923076922</v>
      </c>
      <c r="X333" s="5">
        <f>86/$X$3</f>
        <v>0.20673076923076922</v>
      </c>
      <c r="Z333">
        <v>83</v>
      </c>
      <c r="AA333" s="5">
        <f>Z333/Z371</f>
        <v>0.19761904761904761</v>
      </c>
      <c r="AB333" s="5">
        <f>83/$AB$3</f>
        <v>0.19761904761904761</v>
      </c>
      <c r="AD333">
        <v>104</v>
      </c>
      <c r="AE333" s="5">
        <f>AD333/AD371</f>
        <v>0.20799999999999999</v>
      </c>
      <c r="AF333" s="5">
        <f>104/$AF$3</f>
        <v>0.20799999999999999</v>
      </c>
      <c r="AH333">
        <v>106</v>
      </c>
      <c r="AI333" s="5">
        <f>AH333/AH371</f>
        <v>0.21199999999999999</v>
      </c>
      <c r="AJ333" s="5">
        <f>106/$AJ$3</f>
        <v>0.21199999999999999</v>
      </c>
      <c r="AL333">
        <v>29</v>
      </c>
      <c r="AM333" s="5">
        <f>AL333/AL371</f>
        <v>0.17159763313609466</v>
      </c>
      <c r="AN333" s="5">
        <f>29/$AN$3</f>
        <v>0.17159763313609466</v>
      </c>
      <c r="AP333">
        <v>59</v>
      </c>
      <c r="AQ333" s="5">
        <f>AP333/AP371</f>
        <v>0.18971061093247588</v>
      </c>
      <c r="AR333" s="5">
        <f>59/$AR$3</f>
        <v>0.18971061093247588</v>
      </c>
      <c r="AT333">
        <v>85</v>
      </c>
      <c r="AU333" s="5">
        <f>AT333/AT371</f>
        <v>0.21794871794871795</v>
      </c>
      <c r="AV333" s="5">
        <f>85/$AV$3</f>
        <v>0.21794871794871795</v>
      </c>
      <c r="AX333">
        <v>37</v>
      </c>
      <c r="AY333" s="5">
        <f>AX333/AX371</f>
        <v>0.2846153846153846</v>
      </c>
      <c r="AZ333" s="10">
        <f>37/$AZ$3</f>
        <v>0.2846153846153846</v>
      </c>
      <c r="BB333">
        <v>102</v>
      </c>
      <c r="BC333" s="5">
        <f>BB333/BB371</f>
        <v>0.25123152709359609</v>
      </c>
      <c r="BD333" s="5">
        <f>102/$BD$3</f>
        <v>0.25123152709359609</v>
      </c>
      <c r="BF333">
        <v>66</v>
      </c>
      <c r="BG333" s="5">
        <f>BF333/BF371</f>
        <v>0.17741935483870969</v>
      </c>
      <c r="BH333" s="5">
        <f>66/$BH$3</f>
        <v>0.17741935483870969</v>
      </c>
      <c r="BJ333">
        <v>42</v>
      </c>
      <c r="BK333" s="5">
        <f>BJ333/BJ371</f>
        <v>0.1891891891891892</v>
      </c>
      <c r="BL333" s="5">
        <f>42/$BL$3</f>
        <v>0.1891891891891892</v>
      </c>
      <c r="BN333">
        <v>81</v>
      </c>
      <c r="BO333" s="5">
        <f>BN333/BN371</f>
        <v>0.2131578947368421</v>
      </c>
      <c r="BP333" s="5">
        <f>81/$BP$3</f>
        <v>0.2131578947368421</v>
      </c>
      <c r="BR333">
        <v>76</v>
      </c>
      <c r="BS333" s="5">
        <f>BR333/BR371</f>
        <v>0.20540540540540542</v>
      </c>
      <c r="BT333" s="5">
        <f>76/$BT$3</f>
        <v>0.20540540540540542</v>
      </c>
      <c r="BV333">
        <v>53</v>
      </c>
      <c r="BW333" s="5">
        <f>BV333/BV371</f>
        <v>0.21199999999999999</v>
      </c>
      <c r="BX333" s="5">
        <f>53/$BX$3</f>
        <v>0.21199999999999999</v>
      </c>
      <c r="BZ333">
        <v>0</v>
      </c>
      <c r="CA333" s="5">
        <f>BZ333/BZ371</f>
        <v>0</v>
      </c>
      <c r="CB333" s="11">
        <f>0/$CB$3</f>
        <v>0</v>
      </c>
      <c r="CD333">
        <v>210</v>
      </c>
      <c r="CE333" s="5">
        <f>CD333/CD371</f>
        <v>1</v>
      </c>
      <c r="CF333" s="5">
        <f>210/$CF$3</f>
        <v>1</v>
      </c>
      <c r="CG333" s="12"/>
      <c r="CH333">
        <v>0</v>
      </c>
      <c r="CI333" s="5">
        <f>CH333/CH371</f>
        <v>0</v>
      </c>
      <c r="CJ333" s="11">
        <f>0/$CJ$3</f>
        <v>0</v>
      </c>
      <c r="CL333">
        <v>0</v>
      </c>
      <c r="CM333" s="5">
        <f>CL333/CL371</f>
        <v>0</v>
      </c>
      <c r="CN333" s="11">
        <f>0/$CN$3</f>
        <v>0</v>
      </c>
    </row>
    <row r="334" spans="1:93" x14ac:dyDescent="0.25">
      <c r="A334" s="1" t="s">
        <v>2166</v>
      </c>
      <c r="B334">
        <v>220</v>
      </c>
      <c r="C334" s="5">
        <f>B334/B371</f>
        <v>0.22</v>
      </c>
      <c r="D334" s="5">
        <f>220/$D$3</f>
        <v>0.22</v>
      </c>
      <c r="F334">
        <v>105</v>
      </c>
      <c r="G334" s="5">
        <f>F334/F371</f>
        <v>0.22245762711864406</v>
      </c>
      <c r="H334" s="5">
        <f>105/$H$3</f>
        <v>0.22245762711864406</v>
      </c>
      <c r="J334">
        <v>64</v>
      </c>
      <c r="K334" s="5">
        <f>J334/J371</f>
        <v>0.22456140350877193</v>
      </c>
      <c r="L334" s="5">
        <f>64/$L$3</f>
        <v>0.22456140350877193</v>
      </c>
      <c r="N334">
        <v>52</v>
      </c>
      <c r="O334" s="5">
        <f>N334/N371</f>
        <v>0.22413793103448276</v>
      </c>
      <c r="P334" s="5">
        <f>52/$P$3</f>
        <v>0.22413793103448276</v>
      </c>
      <c r="R334">
        <v>69</v>
      </c>
      <c r="S334" s="5">
        <f>R334/R371</f>
        <v>0.23469387755102042</v>
      </c>
      <c r="T334" s="5">
        <f>69/$T$3</f>
        <v>0.23469387755102042</v>
      </c>
      <c r="V334">
        <v>92</v>
      </c>
      <c r="W334" s="5">
        <f>V334/V371</f>
        <v>0.22115384615384615</v>
      </c>
      <c r="X334" s="5">
        <f>92/$X$3</f>
        <v>0.22115384615384615</v>
      </c>
      <c r="Z334">
        <v>93</v>
      </c>
      <c r="AA334" s="5">
        <f>Z334/Z371</f>
        <v>0.22142857142857142</v>
      </c>
      <c r="AB334" s="5">
        <f>93/$AB$3</f>
        <v>0.22142857142857142</v>
      </c>
      <c r="AD334">
        <v>111</v>
      </c>
      <c r="AE334" s="5">
        <f>AD334/AD371</f>
        <v>0.222</v>
      </c>
      <c r="AF334" s="5">
        <f>111/$AF$3</f>
        <v>0.222</v>
      </c>
      <c r="AH334">
        <v>109</v>
      </c>
      <c r="AI334" s="5">
        <f>AH334/AH371</f>
        <v>0.218</v>
      </c>
      <c r="AJ334" s="5">
        <f>109/$AJ$3</f>
        <v>0.218</v>
      </c>
      <c r="AL334">
        <v>38</v>
      </c>
      <c r="AM334" s="5">
        <f>AL334/AL371</f>
        <v>0.22485207100591717</v>
      </c>
      <c r="AN334" s="5">
        <f>38/$AN$3</f>
        <v>0.22485207100591717</v>
      </c>
      <c r="AP334">
        <v>70</v>
      </c>
      <c r="AQ334" s="5">
        <f>AP334/AP371</f>
        <v>0.22508038585209003</v>
      </c>
      <c r="AR334" s="5">
        <f>70/$AR$3</f>
        <v>0.22508038585209003</v>
      </c>
      <c r="AT334">
        <v>89</v>
      </c>
      <c r="AU334" s="5">
        <f>AT334/AT371</f>
        <v>0.2282051282051282</v>
      </c>
      <c r="AV334" s="5">
        <f>89/$AV$3</f>
        <v>0.2282051282051282</v>
      </c>
      <c r="AX334">
        <v>23</v>
      </c>
      <c r="AY334" s="5">
        <f>AX334/AX371</f>
        <v>0.17692307692307693</v>
      </c>
      <c r="AZ334" s="5">
        <f>23/$AZ$3</f>
        <v>0.17692307692307693</v>
      </c>
      <c r="BB334">
        <v>100</v>
      </c>
      <c r="BC334" s="5">
        <f>BB334/BB371</f>
        <v>0.24630541871921183</v>
      </c>
      <c r="BD334" s="5">
        <f>100/$BD$3</f>
        <v>0.24630541871921183</v>
      </c>
      <c r="BF334">
        <v>82</v>
      </c>
      <c r="BG334" s="5">
        <f>BF334/BF371</f>
        <v>0.22043010752688172</v>
      </c>
      <c r="BH334" s="5">
        <f>82/$BH$3</f>
        <v>0.22043010752688172</v>
      </c>
      <c r="BJ334">
        <v>38</v>
      </c>
      <c r="BK334" s="5">
        <f>BJ334/BJ371</f>
        <v>0.17117117117117117</v>
      </c>
      <c r="BL334" s="5">
        <f>38/$BL$3</f>
        <v>0.17117117117117117</v>
      </c>
      <c r="BN334">
        <v>91</v>
      </c>
      <c r="BO334" s="5">
        <f>BN334/BN371</f>
        <v>0.23947368421052631</v>
      </c>
      <c r="BP334" s="5">
        <f>91/$BP$3</f>
        <v>0.23947368421052631</v>
      </c>
      <c r="BR334">
        <v>78</v>
      </c>
      <c r="BS334" s="5">
        <f>BR334/BR371</f>
        <v>0.21081081081081082</v>
      </c>
      <c r="BT334" s="5">
        <f>78/$BT$3</f>
        <v>0.21081081081081082</v>
      </c>
      <c r="BV334">
        <v>51</v>
      </c>
      <c r="BW334" s="5">
        <f>BV334/BV371</f>
        <v>0.20399999999999999</v>
      </c>
      <c r="BX334" s="5">
        <f>51/$BX$3</f>
        <v>0.20399999999999999</v>
      </c>
      <c r="BZ334">
        <v>0</v>
      </c>
      <c r="CA334" s="5">
        <f>BZ334/BZ371</f>
        <v>0</v>
      </c>
      <c r="CB334" s="11">
        <f>0/$CB$3</f>
        <v>0</v>
      </c>
      <c r="CD334">
        <v>0</v>
      </c>
      <c r="CE334" s="5">
        <f>CD334/CD371</f>
        <v>0</v>
      </c>
      <c r="CF334" s="11">
        <f>0/$CF$3</f>
        <v>0</v>
      </c>
      <c r="CH334">
        <v>220</v>
      </c>
      <c r="CI334" s="5">
        <f>CH334/CH371</f>
        <v>1</v>
      </c>
      <c r="CJ334" s="5">
        <f>220/$CJ$3</f>
        <v>1</v>
      </c>
      <c r="CK334" s="12"/>
      <c r="CL334">
        <v>0</v>
      </c>
      <c r="CM334" s="5">
        <f>CL334/CL371</f>
        <v>0</v>
      </c>
      <c r="CN334" s="11">
        <f>0/$CN$3</f>
        <v>0</v>
      </c>
    </row>
    <row r="335" spans="1:93" x14ac:dyDescent="0.25">
      <c r="A335" s="1" t="s">
        <v>2168</v>
      </c>
      <c r="B335">
        <v>320</v>
      </c>
      <c r="C335" s="5">
        <f>B335/B371</f>
        <v>0.32</v>
      </c>
      <c r="D335" s="5">
        <f>320/$D$3</f>
        <v>0.32</v>
      </c>
      <c r="F335">
        <v>160</v>
      </c>
      <c r="G335" s="5">
        <f>F335/F371</f>
        <v>0.33898305084745761</v>
      </c>
      <c r="H335" s="5">
        <f>160/$H$3</f>
        <v>0.33898305084745761</v>
      </c>
      <c r="J335">
        <v>95</v>
      </c>
      <c r="K335" s="5">
        <f>J335/J371</f>
        <v>0.33333333333333331</v>
      </c>
      <c r="L335" s="5">
        <f>95/$L$3</f>
        <v>0.33333333333333331</v>
      </c>
      <c r="N335">
        <v>78</v>
      </c>
      <c r="O335" s="5">
        <f>N335/N371</f>
        <v>0.33620689655172414</v>
      </c>
      <c r="P335" s="5">
        <f>78/$P$3</f>
        <v>0.33620689655172414</v>
      </c>
      <c r="R335">
        <v>106</v>
      </c>
      <c r="S335" s="5">
        <f>R335/R371</f>
        <v>0.36054421768707484</v>
      </c>
      <c r="T335" s="5">
        <f>106/$T$3</f>
        <v>0.36054421768707484</v>
      </c>
      <c r="V335">
        <v>135</v>
      </c>
      <c r="W335" s="5">
        <f>V335/V371</f>
        <v>0.32451923076923078</v>
      </c>
      <c r="X335" s="5">
        <f>135/$X$3</f>
        <v>0.32451923076923078</v>
      </c>
      <c r="Z335">
        <v>147</v>
      </c>
      <c r="AA335" s="5">
        <f>Z335/Z371</f>
        <v>0.35</v>
      </c>
      <c r="AB335" s="5">
        <f>147/$AB$3</f>
        <v>0.35</v>
      </c>
      <c r="AD335">
        <v>165</v>
      </c>
      <c r="AE335" s="5">
        <f>AD335/AD371</f>
        <v>0.33</v>
      </c>
      <c r="AF335" s="5">
        <f>165/$AF$3</f>
        <v>0.33</v>
      </c>
      <c r="AH335">
        <v>155</v>
      </c>
      <c r="AI335" s="5">
        <f>AH335/AH371</f>
        <v>0.31</v>
      </c>
      <c r="AJ335" s="5">
        <f>155/$AJ$3</f>
        <v>0.31</v>
      </c>
      <c r="AL335">
        <v>66</v>
      </c>
      <c r="AM335" s="5">
        <f>AL335/AL371</f>
        <v>0.39053254437869822</v>
      </c>
      <c r="AN335" s="10">
        <f>66/$AN$3</f>
        <v>0.39053254437869822</v>
      </c>
      <c r="AP335">
        <v>99</v>
      </c>
      <c r="AQ335" s="5">
        <f>AP335/AP371</f>
        <v>0.31832797427652731</v>
      </c>
      <c r="AR335" s="5">
        <f>99/$AR$3</f>
        <v>0.31832797427652731</v>
      </c>
      <c r="AT335">
        <v>114</v>
      </c>
      <c r="AU335" s="5">
        <f>AT335/AT371</f>
        <v>0.29230769230769232</v>
      </c>
      <c r="AV335" s="5">
        <f>114/$AV$3</f>
        <v>0.29230769230769232</v>
      </c>
      <c r="AX335">
        <v>41</v>
      </c>
      <c r="AY335" s="5">
        <f>AX335/AX371</f>
        <v>0.31538461538461537</v>
      </c>
      <c r="AZ335" s="5">
        <f>41/$AZ$3</f>
        <v>0.31538461538461537</v>
      </c>
      <c r="BB335">
        <v>100</v>
      </c>
      <c r="BC335" s="5">
        <f>BB335/BB371</f>
        <v>0.24630541871921183</v>
      </c>
      <c r="BD335" s="11">
        <f>100/$BD$3</f>
        <v>0.24630541871921183</v>
      </c>
      <c r="BF335">
        <v>132</v>
      </c>
      <c r="BG335" s="5">
        <f>BF335/BF371</f>
        <v>0.35483870967741937</v>
      </c>
      <c r="BH335" s="5">
        <f>132/$BH$3</f>
        <v>0.35483870967741937</v>
      </c>
      <c r="BI335" s="12"/>
      <c r="BJ335">
        <v>88</v>
      </c>
      <c r="BK335" s="5">
        <f>BJ335/BJ371</f>
        <v>0.3963963963963964</v>
      </c>
      <c r="BL335" s="10">
        <f>88/$BL$3</f>
        <v>0.3963963963963964</v>
      </c>
      <c r="BM335" s="12"/>
      <c r="BN335">
        <v>97</v>
      </c>
      <c r="BO335" s="5">
        <f>BN335/BN371</f>
        <v>0.25526315789473686</v>
      </c>
      <c r="BP335" s="11">
        <f>97/$BP$3</f>
        <v>0.25526315789473686</v>
      </c>
      <c r="BR335">
        <v>130</v>
      </c>
      <c r="BS335" s="5">
        <f>BR335/BR371</f>
        <v>0.35135135135135137</v>
      </c>
      <c r="BT335" s="5">
        <f>130/$BT$3</f>
        <v>0.35135135135135137</v>
      </c>
      <c r="BU335" s="12"/>
      <c r="BV335">
        <v>93</v>
      </c>
      <c r="BW335" s="5">
        <f>BV335/BV371</f>
        <v>0.372</v>
      </c>
      <c r="BX335" s="10">
        <f>93/$BX$3</f>
        <v>0.372</v>
      </c>
      <c r="BY335" s="12"/>
      <c r="BZ335">
        <v>0</v>
      </c>
      <c r="CA335" s="5">
        <f>BZ335/BZ371</f>
        <v>0</v>
      </c>
      <c r="CB335" s="11">
        <f>0/$CB$3</f>
        <v>0</v>
      </c>
      <c r="CD335">
        <v>0</v>
      </c>
      <c r="CE335" s="5">
        <f>CD335/CD371</f>
        <v>0</v>
      </c>
      <c r="CF335" s="11">
        <f>0/$CF$3</f>
        <v>0</v>
      </c>
      <c r="CH335">
        <v>0</v>
      </c>
      <c r="CI335" s="5">
        <f>CH335/CH371</f>
        <v>0</v>
      </c>
      <c r="CJ335" s="11">
        <f>0/$CJ$3</f>
        <v>0</v>
      </c>
      <c r="CL335">
        <v>320</v>
      </c>
      <c r="CM335" s="5">
        <f>CL335/CL371</f>
        <v>1</v>
      </c>
      <c r="CN335" s="5">
        <f>320/$CN$3</f>
        <v>1</v>
      </c>
      <c r="CO335" s="12"/>
    </row>
    <row r="336" spans="1:93" x14ac:dyDescent="0.25">
      <c r="A336" s="1" t="s">
        <v>2191</v>
      </c>
      <c r="B336">
        <v>380</v>
      </c>
      <c r="C336" s="5">
        <f>B336/B371</f>
        <v>0.38</v>
      </c>
      <c r="D336" s="5">
        <f>380/$D$3</f>
        <v>0.38</v>
      </c>
      <c r="F336">
        <v>143</v>
      </c>
      <c r="G336" s="5">
        <f>F336/F371</f>
        <v>0.30296610169491528</v>
      </c>
      <c r="H336" s="11">
        <f>143/$H$3</f>
        <v>0.30296610169491528</v>
      </c>
      <c r="J336">
        <v>97</v>
      </c>
      <c r="K336" s="5">
        <f>J336/J371</f>
        <v>0.34035087719298246</v>
      </c>
      <c r="L336" s="5">
        <f>97/$L$3</f>
        <v>0.34035087719298246</v>
      </c>
      <c r="N336">
        <v>67</v>
      </c>
      <c r="O336" s="5">
        <f>N336/N371</f>
        <v>0.28879310344827586</v>
      </c>
      <c r="P336" s="11">
        <f>67/$P$3</f>
        <v>0.28879310344827586</v>
      </c>
      <c r="R336">
        <v>90</v>
      </c>
      <c r="S336" s="5">
        <f>R336/R371</f>
        <v>0.30612244897959184</v>
      </c>
      <c r="T336" s="11">
        <f>90/$T$3</f>
        <v>0.30612244897959184</v>
      </c>
      <c r="V336">
        <v>128</v>
      </c>
      <c r="W336" s="5">
        <f>V336/V371</f>
        <v>0.30769230769230771</v>
      </c>
      <c r="X336" s="11">
        <f>128/$X$3</f>
        <v>0.30769230769230771</v>
      </c>
      <c r="Z336">
        <v>126</v>
      </c>
      <c r="AA336" s="5">
        <f>Z336/Z371</f>
        <v>0.3</v>
      </c>
      <c r="AB336" s="11">
        <f>126/$AB$3</f>
        <v>0.3</v>
      </c>
      <c r="AD336">
        <v>196</v>
      </c>
      <c r="AE336" s="5">
        <f>AD336/AD371</f>
        <v>0.39200000000000002</v>
      </c>
      <c r="AF336" s="5">
        <f>196/$AF$3</f>
        <v>0.39200000000000002</v>
      </c>
      <c r="AH336">
        <v>184</v>
      </c>
      <c r="AI336" s="5">
        <f>AH336/AH371</f>
        <v>0.36799999999999999</v>
      </c>
      <c r="AJ336" s="5">
        <f>184/$AJ$3</f>
        <v>0.36799999999999999</v>
      </c>
      <c r="AL336">
        <v>59</v>
      </c>
      <c r="AM336" s="5">
        <f>AL336/AL371</f>
        <v>0.34911242603550297</v>
      </c>
      <c r="AN336" s="5">
        <f>59/$AN$3</f>
        <v>0.34911242603550297</v>
      </c>
      <c r="AP336">
        <v>123</v>
      </c>
      <c r="AQ336" s="5">
        <f>AP336/AP371</f>
        <v>0.39549839228295819</v>
      </c>
      <c r="AR336" s="5">
        <f>123/$AR$3</f>
        <v>0.39549839228295819</v>
      </c>
      <c r="AT336">
        <v>143</v>
      </c>
      <c r="AU336" s="5">
        <f>AT336/AT371</f>
        <v>0.36666666666666664</v>
      </c>
      <c r="AV336" s="5">
        <f>143/$AV$3</f>
        <v>0.36666666666666664</v>
      </c>
      <c r="AX336">
        <v>55</v>
      </c>
      <c r="AY336" s="5">
        <f>AX336/AX371</f>
        <v>0.42307692307692307</v>
      </c>
      <c r="AZ336" s="5">
        <f>55/$AZ$3</f>
        <v>0.42307692307692307</v>
      </c>
      <c r="BB336">
        <v>206</v>
      </c>
      <c r="BC336" s="5">
        <f>BB336/BB371</f>
        <v>0.5073891625615764</v>
      </c>
      <c r="BD336" s="10">
        <f>206/$BD$3</f>
        <v>0.5073891625615764</v>
      </c>
      <c r="BE336" s="12"/>
      <c r="BF336">
        <v>115</v>
      </c>
      <c r="BG336" s="5">
        <f>BF336/BF371</f>
        <v>0.30913978494623656</v>
      </c>
      <c r="BH336" s="11">
        <f>115/$BH$3</f>
        <v>0.30913978494623656</v>
      </c>
      <c r="BJ336">
        <v>59</v>
      </c>
      <c r="BK336" s="5">
        <f>BJ336/BJ371</f>
        <v>0.26576576576576577</v>
      </c>
      <c r="BL336" s="11">
        <f>59/$BL$3</f>
        <v>0.26576576576576577</v>
      </c>
      <c r="BN336">
        <v>380</v>
      </c>
      <c r="BO336" s="5">
        <f>BN336/BN371</f>
        <v>1</v>
      </c>
      <c r="BP336" s="5">
        <f>380/$BP$3</f>
        <v>1</v>
      </c>
      <c r="BQ336" s="12"/>
      <c r="BR336">
        <v>0</v>
      </c>
      <c r="BS336" s="5">
        <f>BR336/BR371</f>
        <v>0</v>
      </c>
      <c r="BT336" s="11">
        <f>0/$BT$3</f>
        <v>0</v>
      </c>
      <c r="BV336">
        <v>0</v>
      </c>
      <c r="BW336" s="5">
        <f>BV336/BV371</f>
        <v>0</v>
      </c>
      <c r="BX336" s="11">
        <f>0/$BX$3</f>
        <v>0</v>
      </c>
      <c r="BZ336">
        <v>111</v>
      </c>
      <c r="CA336" s="5">
        <f>BZ336/BZ371</f>
        <v>0.44400000000000001</v>
      </c>
      <c r="CB336" s="10">
        <f>111/$CB$3</f>
        <v>0.44400000000000001</v>
      </c>
      <c r="CC336" s="12"/>
      <c r="CD336">
        <v>81</v>
      </c>
      <c r="CE336" s="5">
        <f>CD336/CD371</f>
        <v>0.38571428571428573</v>
      </c>
      <c r="CF336" s="5">
        <f>81/$CF$3</f>
        <v>0.38571428571428573</v>
      </c>
      <c r="CH336">
        <v>91</v>
      </c>
      <c r="CI336" s="5">
        <f>CH336/CH371</f>
        <v>0.41363636363636364</v>
      </c>
      <c r="CJ336" s="5">
        <f>91/$CJ$3</f>
        <v>0.41363636363636364</v>
      </c>
      <c r="CL336">
        <v>97</v>
      </c>
      <c r="CM336" s="5">
        <f>CL336/CL371</f>
        <v>0.30312499999999998</v>
      </c>
      <c r="CN336" s="11">
        <f>97/$CN$3</f>
        <v>0.30312499999999998</v>
      </c>
    </row>
    <row r="337" spans="1:93" x14ac:dyDescent="0.25">
      <c r="A337" s="1" t="s">
        <v>2192</v>
      </c>
      <c r="B337">
        <v>370</v>
      </c>
      <c r="C337" s="5">
        <f>B337/B371</f>
        <v>0.37</v>
      </c>
      <c r="D337" s="5">
        <f>370/$D$3</f>
        <v>0.37</v>
      </c>
      <c r="F337">
        <v>177</v>
      </c>
      <c r="G337" s="5">
        <f>F337/F371</f>
        <v>0.375</v>
      </c>
      <c r="H337" s="5">
        <f>177/$H$3</f>
        <v>0.375</v>
      </c>
      <c r="J337">
        <v>103</v>
      </c>
      <c r="K337" s="5">
        <f>J337/J371</f>
        <v>0.36140350877192984</v>
      </c>
      <c r="L337" s="5">
        <f>103/$L$3</f>
        <v>0.36140350877192984</v>
      </c>
      <c r="N337">
        <v>87</v>
      </c>
      <c r="O337" s="5">
        <f>N337/N371</f>
        <v>0.375</v>
      </c>
      <c r="P337" s="5">
        <f>87/$P$3</f>
        <v>0.375</v>
      </c>
      <c r="R337">
        <v>112</v>
      </c>
      <c r="S337" s="5">
        <f>R337/R371</f>
        <v>0.38095238095238093</v>
      </c>
      <c r="T337" s="5">
        <f>112/$T$3</f>
        <v>0.38095238095238093</v>
      </c>
      <c r="V337">
        <v>161</v>
      </c>
      <c r="W337" s="5">
        <f>V337/V371</f>
        <v>0.38701923076923078</v>
      </c>
      <c r="X337" s="5">
        <f>161/$X$3</f>
        <v>0.38701923076923078</v>
      </c>
      <c r="Z337">
        <v>160</v>
      </c>
      <c r="AA337" s="5">
        <f>Z337/Z371</f>
        <v>0.38095238095238093</v>
      </c>
      <c r="AB337" s="5">
        <f>160/$AB$3</f>
        <v>0.38095238095238093</v>
      </c>
      <c r="AD337">
        <v>153</v>
      </c>
      <c r="AE337" s="5">
        <f>AD337/AD371</f>
        <v>0.30599999999999999</v>
      </c>
      <c r="AF337" s="11">
        <f>153/$AF$3</f>
        <v>0.30599999999999999</v>
      </c>
      <c r="AH337">
        <v>217</v>
      </c>
      <c r="AI337" s="5">
        <f>AH337/AH371</f>
        <v>0.434</v>
      </c>
      <c r="AJ337" s="10">
        <f>217/$AJ$3</f>
        <v>0.434</v>
      </c>
      <c r="AL337">
        <v>59</v>
      </c>
      <c r="AM337" s="5">
        <f>AL337/AL371</f>
        <v>0.34911242603550297</v>
      </c>
      <c r="AN337" s="5">
        <f>59/$AN$3</f>
        <v>0.34911242603550297</v>
      </c>
      <c r="AP337">
        <v>106</v>
      </c>
      <c r="AQ337" s="5">
        <f>AP337/AP371</f>
        <v>0.34083601286173631</v>
      </c>
      <c r="AR337" s="5">
        <f>106/$AR$3</f>
        <v>0.34083601286173631</v>
      </c>
      <c r="AT337">
        <v>151</v>
      </c>
      <c r="AU337" s="5">
        <f>AT337/AT371</f>
        <v>0.38717948717948719</v>
      </c>
      <c r="AV337" s="5">
        <f>151/$AV$3</f>
        <v>0.38717948717948719</v>
      </c>
      <c r="AX337">
        <v>54</v>
      </c>
      <c r="AY337" s="5">
        <f>AX337/AX371</f>
        <v>0.41538461538461541</v>
      </c>
      <c r="AZ337" s="5">
        <f>54/$AZ$3</f>
        <v>0.41538461538461541</v>
      </c>
      <c r="BB337">
        <v>119</v>
      </c>
      <c r="BC337" s="5">
        <f>BB337/BB371</f>
        <v>0.29310344827586204</v>
      </c>
      <c r="BD337" s="11">
        <f>119/$BD$3</f>
        <v>0.29310344827586204</v>
      </c>
      <c r="BF337">
        <v>169</v>
      </c>
      <c r="BG337" s="5">
        <f>BF337/BF371</f>
        <v>0.45430107526881719</v>
      </c>
      <c r="BH337" s="10">
        <f>169/$BH$3</f>
        <v>0.45430107526881719</v>
      </c>
      <c r="BI337" s="12"/>
      <c r="BJ337">
        <v>82</v>
      </c>
      <c r="BK337" s="5">
        <f>BJ337/BJ371</f>
        <v>0.36936936936936937</v>
      </c>
      <c r="BL337" s="5">
        <f>82/$BL$3</f>
        <v>0.36936936936936937</v>
      </c>
      <c r="BN337">
        <v>0</v>
      </c>
      <c r="BO337" s="5">
        <f>BN337/BN371</f>
        <v>0</v>
      </c>
      <c r="BP337" s="11">
        <f>0/$BP$3</f>
        <v>0</v>
      </c>
      <c r="BR337">
        <v>370</v>
      </c>
      <c r="BS337" s="5">
        <f>BR337/BR371</f>
        <v>1</v>
      </c>
      <c r="BT337" s="5">
        <f>370/$BT$3</f>
        <v>1</v>
      </c>
      <c r="BU337" s="12"/>
      <c r="BV337">
        <v>0</v>
      </c>
      <c r="BW337" s="5">
        <f>BV337/BV371</f>
        <v>0</v>
      </c>
      <c r="BX337" s="11">
        <f>0/$BX$3</f>
        <v>0</v>
      </c>
      <c r="BZ337">
        <v>86</v>
      </c>
      <c r="CA337" s="5">
        <f>BZ337/BZ371</f>
        <v>0.34399999999999997</v>
      </c>
      <c r="CB337" s="5">
        <f>86/$CB$3</f>
        <v>0.34399999999999997</v>
      </c>
      <c r="CD337">
        <v>76</v>
      </c>
      <c r="CE337" s="5">
        <f>CD337/CD371</f>
        <v>0.3619047619047619</v>
      </c>
      <c r="CF337" s="5">
        <f>76/$CF$3</f>
        <v>0.3619047619047619</v>
      </c>
      <c r="CH337">
        <v>78</v>
      </c>
      <c r="CI337" s="5">
        <f>CH337/CH371</f>
        <v>0.35454545454545455</v>
      </c>
      <c r="CJ337" s="5">
        <f>78/$CJ$3</f>
        <v>0.35454545454545455</v>
      </c>
      <c r="CL337">
        <v>130</v>
      </c>
      <c r="CM337" s="5">
        <f>CL337/CL371</f>
        <v>0.40625</v>
      </c>
      <c r="CN337" s="5">
        <f>130/$CN$3</f>
        <v>0.40625</v>
      </c>
    </row>
    <row r="338" spans="1:93" x14ac:dyDescent="0.25">
      <c r="A338" s="1" t="s">
        <v>2190</v>
      </c>
      <c r="B338">
        <v>250</v>
      </c>
      <c r="C338" s="5">
        <f>B338/B371</f>
        <v>0.25</v>
      </c>
      <c r="D338" s="5">
        <f>250/$D$3</f>
        <v>0.25</v>
      </c>
      <c r="F338">
        <v>152</v>
      </c>
      <c r="G338" s="5">
        <f>F338/F371</f>
        <v>0.32203389830508472</v>
      </c>
      <c r="H338" s="10">
        <f>152/$H$3</f>
        <v>0.32203389830508472</v>
      </c>
      <c r="J338">
        <v>85</v>
      </c>
      <c r="K338" s="5">
        <f>J338/J371</f>
        <v>0.2982456140350877</v>
      </c>
      <c r="L338" s="5">
        <f>85/$L$3</f>
        <v>0.2982456140350877</v>
      </c>
      <c r="N338">
        <v>78</v>
      </c>
      <c r="O338" s="5">
        <f>N338/N371</f>
        <v>0.33620689655172414</v>
      </c>
      <c r="P338" s="10">
        <f>78/$P$3</f>
        <v>0.33620689655172414</v>
      </c>
      <c r="R338">
        <v>92</v>
      </c>
      <c r="S338" s="5">
        <f>R338/R371</f>
        <v>0.31292517006802723</v>
      </c>
      <c r="T338" s="10">
        <f>92/$T$3</f>
        <v>0.31292517006802723</v>
      </c>
      <c r="V338">
        <v>127</v>
      </c>
      <c r="W338" s="5">
        <f>V338/V371</f>
        <v>0.30528846153846156</v>
      </c>
      <c r="X338" s="10">
        <f>127/$X$3</f>
        <v>0.30528846153846156</v>
      </c>
      <c r="Z338">
        <v>134</v>
      </c>
      <c r="AA338" s="5">
        <f>Z338/Z371</f>
        <v>0.31904761904761902</v>
      </c>
      <c r="AB338" s="10">
        <f>134/$AB$3</f>
        <v>0.31904761904761902</v>
      </c>
      <c r="AD338">
        <v>151</v>
      </c>
      <c r="AE338" s="5">
        <f>AD338/AD371</f>
        <v>0.30199999999999999</v>
      </c>
      <c r="AF338" s="10">
        <f>151/$AF$3</f>
        <v>0.30199999999999999</v>
      </c>
      <c r="AH338">
        <v>99</v>
      </c>
      <c r="AI338" s="5">
        <f>AH338/AH371</f>
        <v>0.19800000000000001</v>
      </c>
      <c r="AJ338" s="11">
        <f>99/$AJ$3</f>
        <v>0.19800000000000001</v>
      </c>
      <c r="AL338">
        <v>51</v>
      </c>
      <c r="AM338" s="5">
        <f>AL338/AL371</f>
        <v>0.30177514792899407</v>
      </c>
      <c r="AN338" s="5">
        <f>51/$AN$3</f>
        <v>0.30177514792899407</v>
      </c>
      <c r="AO338" s="12"/>
      <c r="AP338">
        <v>82</v>
      </c>
      <c r="AQ338" s="5">
        <f>AP338/AP371</f>
        <v>0.26366559485530544</v>
      </c>
      <c r="AR338" s="5">
        <f>82/$AR$3</f>
        <v>0.26366559485530544</v>
      </c>
      <c r="AT338">
        <v>96</v>
      </c>
      <c r="AU338" s="5">
        <f>AT338/AT371</f>
        <v>0.24615384615384617</v>
      </c>
      <c r="AV338" s="5">
        <f>96/$AV$3</f>
        <v>0.24615384615384617</v>
      </c>
      <c r="AX338">
        <v>21</v>
      </c>
      <c r="AY338" s="5">
        <f>AX338/AX371</f>
        <v>0.16153846153846155</v>
      </c>
      <c r="AZ338" s="11">
        <f>21/$AZ$3</f>
        <v>0.16153846153846155</v>
      </c>
      <c r="BB338">
        <v>81</v>
      </c>
      <c r="BC338" s="5">
        <f>BB338/BB371</f>
        <v>0.19950738916256158</v>
      </c>
      <c r="BD338" s="11">
        <f>81/$BD$3</f>
        <v>0.19950738916256158</v>
      </c>
      <c r="BF338">
        <v>88</v>
      </c>
      <c r="BG338" s="5">
        <f>BF338/BF371</f>
        <v>0.23655913978494625</v>
      </c>
      <c r="BH338" s="5">
        <f>88/$BH$3</f>
        <v>0.23655913978494625</v>
      </c>
      <c r="BJ338">
        <v>81</v>
      </c>
      <c r="BK338" s="5">
        <f>BJ338/BJ371</f>
        <v>0.36486486486486486</v>
      </c>
      <c r="BL338" s="10">
        <f>81/$BL$3</f>
        <v>0.36486486486486486</v>
      </c>
      <c r="BM338" s="12"/>
      <c r="BN338">
        <v>0</v>
      </c>
      <c r="BO338" s="5">
        <f>BN338/BN371</f>
        <v>0</v>
      </c>
      <c r="BP338" s="11">
        <f>0/$BP$3</f>
        <v>0</v>
      </c>
      <c r="BR338">
        <v>0</v>
      </c>
      <c r="BS338" s="5">
        <f>BR338/BR371</f>
        <v>0</v>
      </c>
      <c r="BT338" s="11">
        <f>0/$BT$3</f>
        <v>0</v>
      </c>
      <c r="BV338">
        <v>250</v>
      </c>
      <c r="BW338" s="5">
        <f>BV338/BV371</f>
        <v>1</v>
      </c>
      <c r="BX338" s="5">
        <f>250/$BX$3</f>
        <v>1</v>
      </c>
      <c r="BY338" s="12"/>
      <c r="BZ338">
        <v>53</v>
      </c>
      <c r="CA338" s="5">
        <f>BZ338/BZ371</f>
        <v>0.21199999999999999</v>
      </c>
      <c r="CB338" s="5">
        <f>53/$CB$3</f>
        <v>0.21199999999999999</v>
      </c>
      <c r="CD338">
        <v>53</v>
      </c>
      <c r="CE338" s="5">
        <f>CD338/CD371</f>
        <v>0.25238095238095237</v>
      </c>
      <c r="CF338" s="5">
        <f>53/$CF$3</f>
        <v>0.25238095238095237</v>
      </c>
      <c r="CH338">
        <v>51</v>
      </c>
      <c r="CI338" s="5">
        <f>CH338/CH371</f>
        <v>0.23181818181818181</v>
      </c>
      <c r="CJ338" s="5">
        <f>51/$CJ$3</f>
        <v>0.23181818181818181</v>
      </c>
      <c r="CL338">
        <v>93</v>
      </c>
      <c r="CM338" s="5">
        <f>CL338/CL371</f>
        <v>0.29062500000000002</v>
      </c>
      <c r="CN338" s="5">
        <f>93/$CN$3</f>
        <v>0.29062500000000002</v>
      </c>
    </row>
    <row r="339" spans="1:93" x14ac:dyDescent="0.25">
      <c r="A339" s="1" t="s">
        <v>2178</v>
      </c>
      <c r="B339">
        <v>148</v>
      </c>
      <c r="C339" s="5">
        <f>B339/B371</f>
        <v>0.14799999999999999</v>
      </c>
      <c r="D339" s="5">
        <f>148/$D$3</f>
        <v>0.14799999999999999</v>
      </c>
      <c r="F339">
        <v>70</v>
      </c>
      <c r="G339" s="5">
        <f>F339/F371</f>
        <v>0.14830508474576271</v>
      </c>
      <c r="H339" s="5">
        <f>70/$H$3</f>
        <v>0.14830508474576271</v>
      </c>
      <c r="J339">
        <v>52</v>
      </c>
      <c r="K339" s="5">
        <f>J339/J371</f>
        <v>0.18245614035087721</v>
      </c>
      <c r="L339" s="5">
        <f>52/$L$3</f>
        <v>0.18245614035087721</v>
      </c>
      <c r="N339">
        <v>42</v>
      </c>
      <c r="O339" s="5">
        <f>N339/N371</f>
        <v>0.18103448275862069</v>
      </c>
      <c r="P339" s="5">
        <f>42/$P$3</f>
        <v>0.18103448275862069</v>
      </c>
      <c r="R339">
        <v>48</v>
      </c>
      <c r="S339" s="5">
        <f>R339/R371</f>
        <v>0.16326530612244897</v>
      </c>
      <c r="T339" s="5">
        <f>48/$T$3</f>
        <v>0.16326530612244897</v>
      </c>
      <c r="V339">
        <v>65</v>
      </c>
      <c r="W339" s="5">
        <f>V339/V371</f>
        <v>0.15625</v>
      </c>
      <c r="X339" s="5">
        <f>65/$X$3</f>
        <v>0.15625</v>
      </c>
      <c r="Z339">
        <v>66</v>
      </c>
      <c r="AA339" s="5">
        <f>Z339/Z371</f>
        <v>0.15714285714285714</v>
      </c>
      <c r="AB339" s="5">
        <f>66/$AB$3</f>
        <v>0.15714285714285714</v>
      </c>
      <c r="AD339">
        <v>83</v>
      </c>
      <c r="AE339" s="5">
        <f>AD339/AD371</f>
        <v>0.16600000000000001</v>
      </c>
      <c r="AF339" s="5">
        <f>83/$AF$3</f>
        <v>0.16600000000000001</v>
      </c>
      <c r="AH339">
        <v>65</v>
      </c>
      <c r="AI339" s="5">
        <f>AH339/AH371</f>
        <v>0.13</v>
      </c>
      <c r="AJ339" s="5">
        <f>65/$AJ$3</f>
        <v>0.13</v>
      </c>
      <c r="AL339">
        <v>7</v>
      </c>
      <c r="AM339" s="5">
        <f>AL339/AL371</f>
        <v>4.142011834319527E-2</v>
      </c>
      <c r="AN339" s="11">
        <f>7/$AN$3</f>
        <v>4.142011834319527E-2</v>
      </c>
      <c r="AP339">
        <v>34</v>
      </c>
      <c r="AQ339" s="5">
        <f>AP339/AP371</f>
        <v>0.10932475884244373</v>
      </c>
      <c r="AR339" s="5">
        <f>34/$AR$3</f>
        <v>0.10932475884244373</v>
      </c>
      <c r="AS339" s="12"/>
      <c r="AT339">
        <v>66</v>
      </c>
      <c r="AU339" s="5">
        <f>AT339/AT371</f>
        <v>0.16923076923076924</v>
      </c>
      <c r="AV339" s="5">
        <f>66/$AV$3</f>
        <v>0.16923076923076924</v>
      </c>
      <c r="AW339" s="12"/>
      <c r="AX339">
        <v>41</v>
      </c>
      <c r="AY339" s="5">
        <f>AX339/AX371</f>
        <v>0.31538461538461537</v>
      </c>
      <c r="AZ339" s="10">
        <f>41/$AZ$3</f>
        <v>0.31538461538461537</v>
      </c>
      <c r="BA339" s="12"/>
      <c r="BB339">
        <v>67</v>
      </c>
      <c r="BC339" s="5">
        <f>BB339/BB371</f>
        <v>0.16502463054187191</v>
      </c>
      <c r="BD339" s="5">
        <f>67/$BD$3</f>
        <v>0.16502463054187191</v>
      </c>
      <c r="BF339">
        <v>55</v>
      </c>
      <c r="BG339" s="5">
        <f>BF339/BF371</f>
        <v>0.14784946236559141</v>
      </c>
      <c r="BH339" s="5">
        <f>55/$BH$3</f>
        <v>0.14784946236559141</v>
      </c>
      <c r="BJ339">
        <v>26</v>
      </c>
      <c r="BK339" s="5">
        <f>BJ339/BJ371</f>
        <v>0.11711711711711711</v>
      </c>
      <c r="BL339" s="5">
        <f>26/$BL$3</f>
        <v>0.11711711711711711</v>
      </c>
      <c r="BN339">
        <v>49</v>
      </c>
      <c r="BO339" s="5">
        <f>BN339/BN371</f>
        <v>0.12894736842105264</v>
      </c>
      <c r="BP339" s="5">
        <f>49/$BP$3</f>
        <v>0.12894736842105264</v>
      </c>
      <c r="BR339">
        <v>65</v>
      </c>
      <c r="BS339" s="5">
        <f>BR339/BR371</f>
        <v>0.17567567567567569</v>
      </c>
      <c r="BT339" s="5">
        <f>65/$BT$3</f>
        <v>0.17567567567567569</v>
      </c>
      <c r="BV339">
        <v>34</v>
      </c>
      <c r="BW339" s="5">
        <f>BV339/BV371</f>
        <v>0.13600000000000001</v>
      </c>
      <c r="BX339" s="5">
        <f>34/$BX$3</f>
        <v>0.13600000000000001</v>
      </c>
      <c r="BZ339">
        <v>46</v>
      </c>
      <c r="CA339" s="5">
        <f>BZ339/BZ371</f>
        <v>0.184</v>
      </c>
      <c r="CB339" s="5">
        <f>46/$CB$3</f>
        <v>0.184</v>
      </c>
      <c r="CD339">
        <v>35</v>
      </c>
      <c r="CE339" s="5">
        <f>CD339/CD371</f>
        <v>0.16666666666666666</v>
      </c>
      <c r="CF339" s="5">
        <f>35/$CF$3</f>
        <v>0.16666666666666666</v>
      </c>
      <c r="CH339">
        <v>32</v>
      </c>
      <c r="CI339" s="5">
        <f>CH339/CH371</f>
        <v>0.14545454545454545</v>
      </c>
      <c r="CJ339" s="5">
        <f>32/$CJ$3</f>
        <v>0.14545454545454545</v>
      </c>
      <c r="CL339">
        <v>35</v>
      </c>
      <c r="CM339" s="5">
        <f>CL339/CL371</f>
        <v>0.109375</v>
      </c>
      <c r="CN339" s="5">
        <f>35/$CN$3</f>
        <v>0.109375</v>
      </c>
    </row>
    <row r="340" spans="1:93" x14ac:dyDescent="0.25">
      <c r="A340" s="1" t="s">
        <v>2182</v>
      </c>
      <c r="B340">
        <v>121</v>
      </c>
      <c r="C340" s="5">
        <f>B340/B371</f>
        <v>0.121</v>
      </c>
      <c r="D340" s="5">
        <f>121/$D$3</f>
        <v>0.121</v>
      </c>
      <c r="F340">
        <v>59</v>
      </c>
      <c r="G340" s="5">
        <f>F340/F371</f>
        <v>0.125</v>
      </c>
      <c r="H340" s="5">
        <f>59/$H$3</f>
        <v>0.125</v>
      </c>
      <c r="J340">
        <v>36</v>
      </c>
      <c r="K340" s="5">
        <f>J340/J371</f>
        <v>0.12631578947368421</v>
      </c>
      <c r="L340" s="5">
        <f>36/$L$3</f>
        <v>0.12631578947368421</v>
      </c>
      <c r="N340">
        <v>35</v>
      </c>
      <c r="O340" s="5">
        <f>N340/N371</f>
        <v>0.15086206896551724</v>
      </c>
      <c r="P340" s="5">
        <f>35/$P$3</f>
        <v>0.15086206896551724</v>
      </c>
      <c r="R340">
        <v>40</v>
      </c>
      <c r="S340" s="5">
        <f>R340/R371</f>
        <v>0.1360544217687075</v>
      </c>
      <c r="T340" s="5">
        <f>40/$T$3</f>
        <v>0.1360544217687075</v>
      </c>
      <c r="V340">
        <v>54</v>
      </c>
      <c r="W340" s="5">
        <f>V340/V371</f>
        <v>0.12980769230769232</v>
      </c>
      <c r="X340" s="5">
        <f>54/$X$3</f>
        <v>0.12980769230769232</v>
      </c>
      <c r="Z340">
        <v>58</v>
      </c>
      <c r="AA340" s="5">
        <f>Z340/Z371</f>
        <v>0.1380952380952381</v>
      </c>
      <c r="AB340" s="5">
        <f>58/$AB$3</f>
        <v>0.1380952380952381</v>
      </c>
      <c r="AD340">
        <v>73</v>
      </c>
      <c r="AE340" s="5">
        <f>AD340/AD371</f>
        <v>0.14599999999999999</v>
      </c>
      <c r="AF340" s="5">
        <f>73/$AF$3</f>
        <v>0.14599999999999999</v>
      </c>
      <c r="AH340">
        <v>48</v>
      </c>
      <c r="AI340" s="5">
        <f>AH340/AH371</f>
        <v>9.6000000000000002E-2</v>
      </c>
      <c r="AJ340" s="5">
        <f>48/$AJ$3</f>
        <v>9.6000000000000002E-2</v>
      </c>
      <c r="AL340">
        <v>17</v>
      </c>
      <c r="AM340" s="5">
        <f>AL340/AL371</f>
        <v>0.10059171597633136</v>
      </c>
      <c r="AN340" s="5">
        <f>17/$AN$3</f>
        <v>0.10059171597633136</v>
      </c>
      <c r="AP340">
        <v>37</v>
      </c>
      <c r="AQ340" s="5">
        <f>AP340/AP371</f>
        <v>0.11897106109324759</v>
      </c>
      <c r="AR340" s="5">
        <f>37/$AR$3</f>
        <v>0.11897106109324759</v>
      </c>
      <c r="AT340">
        <v>51</v>
      </c>
      <c r="AU340" s="5">
        <f>AT340/AT371</f>
        <v>0.13076923076923078</v>
      </c>
      <c r="AV340" s="5">
        <f>51/$AV$3</f>
        <v>0.13076923076923078</v>
      </c>
      <c r="AX340">
        <v>16</v>
      </c>
      <c r="AY340" s="5">
        <f>AX340/AX371</f>
        <v>0.12307692307692308</v>
      </c>
      <c r="AZ340" s="5">
        <f>16/$AZ$3</f>
        <v>0.12307692307692308</v>
      </c>
      <c r="BB340">
        <v>22</v>
      </c>
      <c r="BC340" s="5">
        <f>BB340/BB371</f>
        <v>5.4187192118226604E-2</v>
      </c>
      <c r="BD340" s="11">
        <f>22/$BD$3</f>
        <v>5.4187192118226604E-2</v>
      </c>
      <c r="BF340">
        <v>54</v>
      </c>
      <c r="BG340" s="5">
        <f>BF340/BF371</f>
        <v>0.14516129032258066</v>
      </c>
      <c r="BH340" s="5">
        <f>54/$BH$3</f>
        <v>0.14516129032258066</v>
      </c>
      <c r="BI340" s="12"/>
      <c r="BJ340">
        <v>45</v>
      </c>
      <c r="BK340" s="5">
        <f>BJ340/BJ371</f>
        <v>0.20270270270270271</v>
      </c>
      <c r="BL340" s="10">
        <f>45/$BL$3</f>
        <v>0.20270270270270271</v>
      </c>
      <c r="BM340" s="12"/>
      <c r="BN340">
        <v>36</v>
      </c>
      <c r="BO340" s="5">
        <f>BN340/BN371</f>
        <v>9.4736842105263161E-2</v>
      </c>
      <c r="BP340" s="5">
        <f>36/$BP$3</f>
        <v>9.4736842105263161E-2</v>
      </c>
      <c r="BR340">
        <v>51</v>
      </c>
      <c r="BS340" s="5">
        <f>BR340/BR371</f>
        <v>0.13783783783783785</v>
      </c>
      <c r="BT340" s="5">
        <f>51/$BT$3</f>
        <v>0.13783783783783785</v>
      </c>
      <c r="BV340">
        <v>34</v>
      </c>
      <c r="BW340" s="5">
        <f>BV340/BV371</f>
        <v>0.13600000000000001</v>
      </c>
      <c r="BX340" s="5">
        <f>34/$BX$3</f>
        <v>0.13600000000000001</v>
      </c>
      <c r="BZ340">
        <v>22</v>
      </c>
      <c r="CA340" s="5">
        <f>BZ340/BZ371</f>
        <v>8.7999999999999995E-2</v>
      </c>
      <c r="CB340" s="5">
        <f>22/$CB$3</f>
        <v>8.7999999999999995E-2</v>
      </c>
      <c r="CD340">
        <v>17</v>
      </c>
      <c r="CE340" s="5">
        <f>CD340/CD371</f>
        <v>8.0952380952380956E-2</v>
      </c>
      <c r="CF340" s="5">
        <f>17/$CF$3</f>
        <v>8.0952380952380956E-2</v>
      </c>
      <c r="CH340">
        <v>30</v>
      </c>
      <c r="CI340" s="5">
        <f>CH340/CH371</f>
        <v>0.13636363636363635</v>
      </c>
      <c r="CJ340" s="5">
        <f>30/$CJ$3</f>
        <v>0.13636363636363635</v>
      </c>
      <c r="CL340">
        <v>52</v>
      </c>
      <c r="CM340" s="5">
        <f>CL340/CL371</f>
        <v>0.16250000000000001</v>
      </c>
      <c r="CN340" s="5">
        <f>52/$CN$3</f>
        <v>0.16250000000000001</v>
      </c>
      <c r="CO340" s="12"/>
    </row>
    <row r="341" spans="1:93" x14ac:dyDescent="0.25">
      <c r="A341" s="1" t="s">
        <v>2180</v>
      </c>
      <c r="B341">
        <v>69</v>
      </c>
      <c r="C341" s="5">
        <f>B341/B371</f>
        <v>6.9000000000000006E-2</v>
      </c>
      <c r="D341" s="5">
        <f>69/$D$3</f>
        <v>6.9000000000000006E-2</v>
      </c>
      <c r="F341">
        <v>46</v>
      </c>
      <c r="G341" s="5">
        <f>F341/F371</f>
        <v>9.7457627118644072E-2</v>
      </c>
      <c r="H341" s="5">
        <f>46/$H$3</f>
        <v>9.7457627118644072E-2</v>
      </c>
      <c r="J341">
        <v>23</v>
      </c>
      <c r="K341" s="5">
        <f>J341/J371</f>
        <v>8.0701754385964913E-2</v>
      </c>
      <c r="L341" s="5">
        <f>23/$L$3</f>
        <v>8.0701754385964913E-2</v>
      </c>
      <c r="N341">
        <v>22</v>
      </c>
      <c r="O341" s="5">
        <f>N341/N371</f>
        <v>9.4827586206896547E-2</v>
      </c>
      <c r="P341" s="5">
        <f>22/$P$3</f>
        <v>9.4827586206896547E-2</v>
      </c>
      <c r="R341">
        <v>30</v>
      </c>
      <c r="S341" s="5">
        <f>R341/R371</f>
        <v>0.10204081632653061</v>
      </c>
      <c r="T341" s="5">
        <f>30/$T$3</f>
        <v>0.10204081632653061</v>
      </c>
      <c r="V341">
        <v>40</v>
      </c>
      <c r="W341" s="5">
        <f>V341/V371</f>
        <v>9.6153846153846159E-2</v>
      </c>
      <c r="X341" s="5">
        <f>40/$X$3</f>
        <v>9.6153846153846159E-2</v>
      </c>
      <c r="Z341">
        <v>42</v>
      </c>
      <c r="AA341" s="5">
        <f>Z341/Z371</f>
        <v>0.1</v>
      </c>
      <c r="AB341" s="5">
        <f>42/$AB$3</f>
        <v>0.1</v>
      </c>
      <c r="AD341">
        <v>38</v>
      </c>
      <c r="AE341" s="5">
        <f>AD341/AD371</f>
        <v>7.5999999999999998E-2</v>
      </c>
      <c r="AF341" s="5">
        <f>38/$AF$3</f>
        <v>7.5999999999999998E-2</v>
      </c>
      <c r="AH341">
        <v>31</v>
      </c>
      <c r="AI341" s="5">
        <f>AH341/AH371</f>
        <v>6.2E-2</v>
      </c>
      <c r="AJ341" s="5">
        <f>31/$AJ$3</f>
        <v>6.2E-2</v>
      </c>
      <c r="AL341">
        <v>14</v>
      </c>
      <c r="AM341" s="5">
        <f>AL341/AL371</f>
        <v>8.2840236686390539E-2</v>
      </c>
      <c r="AN341" s="5">
        <f>14/$AN$3</f>
        <v>8.2840236686390539E-2</v>
      </c>
      <c r="AP341">
        <v>28</v>
      </c>
      <c r="AQ341" s="5">
        <f>AP341/AP371</f>
        <v>9.0032154340836015E-2</v>
      </c>
      <c r="AR341" s="5">
        <f>28/$AR$3</f>
        <v>9.0032154340836015E-2</v>
      </c>
      <c r="AT341">
        <v>22</v>
      </c>
      <c r="AU341" s="5">
        <f>AT341/AT371</f>
        <v>5.6410256410256411E-2</v>
      </c>
      <c r="AV341" s="5">
        <f>22/$AV$3</f>
        <v>5.6410256410256411E-2</v>
      </c>
      <c r="AX341">
        <v>5</v>
      </c>
      <c r="AY341" s="5">
        <f>AX341/AX371</f>
        <v>3.8461538461538464E-2</v>
      </c>
      <c r="AZ341" s="5">
        <f>5/$AZ$3</f>
        <v>3.8461538461538464E-2</v>
      </c>
      <c r="BB341">
        <v>12</v>
      </c>
      <c r="BC341" s="5">
        <f>BB341/BB371</f>
        <v>2.9556650246305417E-2</v>
      </c>
      <c r="BD341" s="5">
        <f>12/$BD$3</f>
        <v>2.9556650246305417E-2</v>
      </c>
      <c r="BF341">
        <v>28</v>
      </c>
      <c r="BG341" s="5">
        <f>BF341/BF371</f>
        <v>7.5268817204301078E-2</v>
      </c>
      <c r="BH341" s="5">
        <f>28/$BH$3</f>
        <v>7.5268817204301078E-2</v>
      </c>
      <c r="BJ341">
        <v>29</v>
      </c>
      <c r="BK341" s="5">
        <f>BJ341/BJ371</f>
        <v>0.13063063063063063</v>
      </c>
      <c r="BL341" s="10">
        <f>29/$BL$3</f>
        <v>0.13063063063063063</v>
      </c>
      <c r="BM341" s="12"/>
      <c r="BN341">
        <v>20</v>
      </c>
      <c r="BO341" s="5">
        <f>BN341/BN371</f>
        <v>5.2631578947368418E-2</v>
      </c>
      <c r="BP341" s="5">
        <f>20/$BP$3</f>
        <v>5.2631578947368418E-2</v>
      </c>
      <c r="BR341">
        <v>32</v>
      </c>
      <c r="BS341" s="5">
        <f>BR341/BR371</f>
        <v>8.6486486486486491E-2</v>
      </c>
      <c r="BT341" s="5">
        <f>32/$BT$3</f>
        <v>8.6486486486486491E-2</v>
      </c>
      <c r="BV341">
        <v>17</v>
      </c>
      <c r="BW341" s="5">
        <f>BV341/BV371</f>
        <v>6.8000000000000005E-2</v>
      </c>
      <c r="BX341" s="5">
        <f>17/$BX$3</f>
        <v>6.8000000000000005E-2</v>
      </c>
      <c r="BZ341">
        <v>18</v>
      </c>
      <c r="CA341" s="5">
        <f>BZ341/BZ371</f>
        <v>7.1999999999999995E-2</v>
      </c>
      <c r="CB341" s="5">
        <f>18/$CB$3</f>
        <v>7.1999999999999995E-2</v>
      </c>
      <c r="CD341">
        <v>15</v>
      </c>
      <c r="CE341" s="5">
        <f>CD341/CD371</f>
        <v>7.1428571428571425E-2</v>
      </c>
      <c r="CF341" s="5">
        <f>15/$CF$3</f>
        <v>7.1428571428571425E-2</v>
      </c>
      <c r="CH341">
        <v>8</v>
      </c>
      <c r="CI341" s="5">
        <f>CH341/CH371</f>
        <v>3.6363636363636362E-2</v>
      </c>
      <c r="CJ341" s="5">
        <f>8/$CJ$3</f>
        <v>3.6363636363636362E-2</v>
      </c>
      <c r="CL341">
        <v>28</v>
      </c>
      <c r="CM341" s="5">
        <f>CL341/CL371</f>
        <v>8.7499999999999994E-2</v>
      </c>
      <c r="CN341" s="5">
        <f>28/$CN$3</f>
        <v>8.7499999999999994E-2</v>
      </c>
    </row>
    <row r="342" spans="1:93" x14ac:dyDescent="0.25">
      <c r="A342" s="1" t="s">
        <v>2181</v>
      </c>
      <c r="B342">
        <v>40</v>
      </c>
      <c r="C342" s="5">
        <f>B342/B371</f>
        <v>0.04</v>
      </c>
      <c r="D342" s="5">
        <f>40/$D$3</f>
        <v>0.04</v>
      </c>
      <c r="F342">
        <v>16</v>
      </c>
      <c r="G342" s="5">
        <f>F342/F371</f>
        <v>3.3898305084745763E-2</v>
      </c>
      <c r="H342" s="5">
        <f>16/$H$3</f>
        <v>3.3898305084745763E-2</v>
      </c>
      <c r="J342">
        <v>14</v>
      </c>
      <c r="K342" s="5">
        <f>J342/J371</f>
        <v>4.912280701754386E-2</v>
      </c>
      <c r="L342" s="5">
        <f>14/$L$3</f>
        <v>4.912280701754386E-2</v>
      </c>
      <c r="N342">
        <v>6</v>
      </c>
      <c r="O342" s="5">
        <f>N342/N371</f>
        <v>2.5862068965517241E-2</v>
      </c>
      <c r="P342" s="5">
        <f>6/$P$3</f>
        <v>2.5862068965517241E-2</v>
      </c>
      <c r="R342">
        <v>9</v>
      </c>
      <c r="S342" s="5">
        <f>R342/R371</f>
        <v>3.0612244897959183E-2</v>
      </c>
      <c r="T342" s="5">
        <f>9/$T$3</f>
        <v>3.0612244897959183E-2</v>
      </c>
      <c r="V342">
        <v>13</v>
      </c>
      <c r="W342" s="5">
        <f>V342/V371</f>
        <v>3.125E-2</v>
      </c>
      <c r="X342" s="5">
        <f>13/$X$3</f>
        <v>3.125E-2</v>
      </c>
      <c r="Z342">
        <v>15</v>
      </c>
      <c r="AA342" s="5">
        <f>Z342/Z371</f>
        <v>3.5714285714285712E-2</v>
      </c>
      <c r="AB342" s="5">
        <f>15/$AB$3</f>
        <v>3.5714285714285712E-2</v>
      </c>
      <c r="AD342">
        <v>26</v>
      </c>
      <c r="AE342" s="5">
        <f>AD342/AD371</f>
        <v>5.1999999999999998E-2</v>
      </c>
      <c r="AF342" s="5">
        <f>26/$AF$3</f>
        <v>5.1999999999999998E-2</v>
      </c>
      <c r="AH342">
        <v>14</v>
      </c>
      <c r="AI342" s="5">
        <f>AH342/AH371</f>
        <v>2.8000000000000001E-2</v>
      </c>
      <c r="AJ342" s="5">
        <f>14/$AJ$3</f>
        <v>2.8000000000000001E-2</v>
      </c>
      <c r="AL342">
        <v>1</v>
      </c>
      <c r="AM342" s="5">
        <f>AL342/AL371</f>
        <v>5.9171597633136093E-3</v>
      </c>
      <c r="AN342" s="5">
        <f>1/$AN$3</f>
        <v>5.9171597633136093E-3</v>
      </c>
      <c r="AP342">
        <v>10</v>
      </c>
      <c r="AQ342" s="5">
        <f>AP342/AP371</f>
        <v>3.215434083601286E-2</v>
      </c>
      <c r="AR342" s="5">
        <f>10/$AR$3</f>
        <v>3.215434083601286E-2</v>
      </c>
      <c r="AT342">
        <v>20</v>
      </c>
      <c r="AU342" s="5">
        <f>AT342/AT371</f>
        <v>5.128205128205128E-2</v>
      </c>
      <c r="AV342" s="5">
        <f>20/$AV$3</f>
        <v>5.128205128205128E-2</v>
      </c>
      <c r="AX342">
        <v>9</v>
      </c>
      <c r="AY342" s="5">
        <f>AX342/AX371</f>
        <v>6.9230769230769235E-2</v>
      </c>
      <c r="AZ342" s="5">
        <f>9/$AZ$3</f>
        <v>6.9230769230769235E-2</v>
      </c>
      <c r="BA342" s="12"/>
      <c r="BB342">
        <v>19</v>
      </c>
      <c r="BC342" s="5">
        <f>BB342/BB371</f>
        <v>4.6798029556650245E-2</v>
      </c>
      <c r="BD342" s="5">
        <f>19/$BD$3</f>
        <v>4.6798029556650245E-2</v>
      </c>
      <c r="BF342">
        <v>13</v>
      </c>
      <c r="BG342" s="5">
        <f>BF342/BF371</f>
        <v>3.4946236559139782E-2</v>
      </c>
      <c r="BH342" s="5">
        <f>13/$BH$3</f>
        <v>3.4946236559139782E-2</v>
      </c>
      <c r="BJ342">
        <v>8</v>
      </c>
      <c r="BK342" s="5">
        <f>BJ342/BJ371</f>
        <v>3.6036036036036036E-2</v>
      </c>
      <c r="BL342" s="5">
        <f>8/$BL$3</f>
        <v>3.6036036036036036E-2</v>
      </c>
      <c r="BN342">
        <v>15</v>
      </c>
      <c r="BO342" s="5">
        <f>BN342/BN371</f>
        <v>3.9473684210526314E-2</v>
      </c>
      <c r="BP342" s="5">
        <f>15/$BP$3</f>
        <v>3.9473684210526314E-2</v>
      </c>
      <c r="BR342">
        <v>12</v>
      </c>
      <c r="BS342" s="5">
        <f>BR342/BR371</f>
        <v>3.2432432432432434E-2</v>
      </c>
      <c r="BT342" s="5">
        <f>12/$BT$3</f>
        <v>3.2432432432432434E-2</v>
      </c>
      <c r="BV342">
        <v>13</v>
      </c>
      <c r="BW342" s="5">
        <f>BV342/BV371</f>
        <v>5.1999999999999998E-2</v>
      </c>
      <c r="BX342" s="5">
        <f>13/$BX$3</f>
        <v>5.1999999999999998E-2</v>
      </c>
      <c r="BZ342">
        <v>11</v>
      </c>
      <c r="CA342" s="5">
        <f>BZ342/BZ371</f>
        <v>4.3999999999999997E-2</v>
      </c>
      <c r="CB342" s="5">
        <f>11/$CB$3</f>
        <v>4.3999999999999997E-2</v>
      </c>
      <c r="CD342">
        <v>12</v>
      </c>
      <c r="CE342" s="5">
        <f>CD342/CD371</f>
        <v>5.7142857142857141E-2</v>
      </c>
      <c r="CF342" s="5">
        <f>12/$CF$3</f>
        <v>5.7142857142857141E-2</v>
      </c>
      <c r="CH342">
        <v>10</v>
      </c>
      <c r="CI342" s="5">
        <f>CH342/CH371</f>
        <v>4.5454545454545456E-2</v>
      </c>
      <c r="CJ342" s="5">
        <f>10/$CJ$3</f>
        <v>4.5454545454545456E-2</v>
      </c>
      <c r="CL342">
        <v>7</v>
      </c>
      <c r="CM342" s="5">
        <f>CL342/CL371</f>
        <v>2.1874999999999999E-2</v>
      </c>
      <c r="CN342" s="5">
        <f>7/$CN$3</f>
        <v>2.1874999999999999E-2</v>
      </c>
    </row>
    <row r="343" spans="1:93" x14ac:dyDescent="0.25">
      <c r="A343" s="1" t="s">
        <v>2179</v>
      </c>
      <c r="B343">
        <v>245</v>
      </c>
      <c r="C343" s="5">
        <f>B343/B371</f>
        <v>0.245</v>
      </c>
      <c r="D343" s="5">
        <f>245/$D$3</f>
        <v>0.245</v>
      </c>
      <c r="F343">
        <v>97</v>
      </c>
      <c r="G343" s="5">
        <f>F343/F371</f>
        <v>0.20550847457627119</v>
      </c>
      <c r="H343" s="5">
        <f>97/$H$3</f>
        <v>0.20550847457627119</v>
      </c>
      <c r="J343">
        <v>61</v>
      </c>
      <c r="K343" s="5">
        <f>J343/J371</f>
        <v>0.21403508771929824</v>
      </c>
      <c r="L343" s="5">
        <f>61/$L$3</f>
        <v>0.21403508771929824</v>
      </c>
      <c r="N343">
        <v>37</v>
      </c>
      <c r="O343" s="5">
        <f>N343/N371</f>
        <v>0.15948275862068967</v>
      </c>
      <c r="P343" s="11">
        <f>37/$P$3</f>
        <v>0.15948275862068967</v>
      </c>
      <c r="R343">
        <v>43</v>
      </c>
      <c r="S343" s="5">
        <f>R343/R371</f>
        <v>0.14625850340136054</v>
      </c>
      <c r="T343" s="11">
        <f>43/$T$3</f>
        <v>0.14625850340136054</v>
      </c>
      <c r="V343">
        <v>82</v>
      </c>
      <c r="W343" s="5">
        <f>V343/V371</f>
        <v>0.19711538461538461</v>
      </c>
      <c r="X343" s="5">
        <f>82/$X$3</f>
        <v>0.19711538461538461</v>
      </c>
      <c r="Z343">
        <v>75</v>
      </c>
      <c r="AA343" s="5">
        <f>Z343/Z371</f>
        <v>0.17857142857142858</v>
      </c>
      <c r="AB343" s="11">
        <f>75/$AB$3</f>
        <v>0.17857142857142858</v>
      </c>
      <c r="AD343">
        <v>106</v>
      </c>
      <c r="AE343" s="5">
        <f>AD343/AD371</f>
        <v>0.21199999999999999</v>
      </c>
      <c r="AF343" s="5">
        <f>106/$AF$3</f>
        <v>0.21199999999999999</v>
      </c>
      <c r="AH343">
        <v>139</v>
      </c>
      <c r="AI343" s="5">
        <f>AH343/AH371</f>
        <v>0.27800000000000002</v>
      </c>
      <c r="AJ343" s="5">
        <f>139/$AJ$3</f>
        <v>0.27800000000000002</v>
      </c>
      <c r="AL343">
        <v>51</v>
      </c>
      <c r="AM343" s="5">
        <f>AL343/AL371</f>
        <v>0.30177514792899407</v>
      </c>
      <c r="AN343" s="5">
        <f>51/$AN$3</f>
        <v>0.30177514792899407</v>
      </c>
      <c r="AO343" s="12"/>
      <c r="AP343">
        <v>85</v>
      </c>
      <c r="AQ343" s="5">
        <f>AP343/AP371</f>
        <v>0.27331189710610931</v>
      </c>
      <c r="AR343" s="5">
        <f>85/$AR$3</f>
        <v>0.27331189710610931</v>
      </c>
      <c r="AS343" s="12"/>
      <c r="AT343">
        <v>93</v>
      </c>
      <c r="AU343" s="5">
        <f>AT343/AT371</f>
        <v>0.23846153846153847</v>
      </c>
      <c r="AV343" s="5">
        <f>93/$AV$3</f>
        <v>0.23846153846153847</v>
      </c>
      <c r="AW343" s="12"/>
      <c r="AX343">
        <v>16</v>
      </c>
      <c r="AY343" s="5">
        <f>AX343/AX371</f>
        <v>0.12307692307692308</v>
      </c>
      <c r="AZ343" s="11">
        <f>16/$AZ$3</f>
        <v>0.12307692307692308</v>
      </c>
      <c r="BB343">
        <v>142</v>
      </c>
      <c r="BC343" s="5">
        <f>BB343/BB371</f>
        <v>0.34975369458128081</v>
      </c>
      <c r="BD343" s="10">
        <f>142/$BD$3</f>
        <v>0.34975369458128081</v>
      </c>
      <c r="BE343" s="12"/>
      <c r="BF343">
        <v>82</v>
      </c>
      <c r="BG343" s="5">
        <f>BF343/BF371</f>
        <v>0.22043010752688172</v>
      </c>
      <c r="BH343" s="5">
        <f>82/$BH$3</f>
        <v>0.22043010752688172</v>
      </c>
      <c r="BI343" s="12"/>
      <c r="BJ343">
        <v>21</v>
      </c>
      <c r="BK343" s="5">
        <f>BJ343/BJ371</f>
        <v>9.45945945945946E-2</v>
      </c>
      <c r="BL343" s="11">
        <f>21/$BL$3</f>
        <v>9.45945945945946E-2</v>
      </c>
      <c r="BN343">
        <v>130</v>
      </c>
      <c r="BO343" s="5">
        <f>BN343/BN371</f>
        <v>0.34210526315789475</v>
      </c>
      <c r="BP343" s="10">
        <f>130/$BP$3</f>
        <v>0.34210526315789475</v>
      </c>
      <c r="BQ343" s="12"/>
      <c r="BR343">
        <v>61</v>
      </c>
      <c r="BS343" s="5">
        <f>BR343/BR371</f>
        <v>0.16486486486486487</v>
      </c>
      <c r="BT343" s="11">
        <f>61/$BT$3</f>
        <v>0.16486486486486487</v>
      </c>
      <c r="BV343">
        <v>54</v>
      </c>
      <c r="BW343" s="5">
        <f>BV343/BV371</f>
        <v>0.216</v>
      </c>
      <c r="BX343" s="5">
        <f>54/$BX$3</f>
        <v>0.216</v>
      </c>
      <c r="BZ343">
        <v>54</v>
      </c>
      <c r="CA343" s="5">
        <f>BZ343/BZ371</f>
        <v>0.216</v>
      </c>
      <c r="CB343" s="5">
        <f>54/$CB$3</f>
        <v>0.216</v>
      </c>
      <c r="CD343">
        <v>51</v>
      </c>
      <c r="CE343" s="5">
        <f>CD343/CD371</f>
        <v>0.24285714285714285</v>
      </c>
      <c r="CF343" s="5">
        <f>51/$CF$3</f>
        <v>0.24285714285714285</v>
      </c>
      <c r="CH343">
        <v>62</v>
      </c>
      <c r="CI343" s="5">
        <f>CH343/CH371</f>
        <v>0.2818181818181818</v>
      </c>
      <c r="CJ343" s="5">
        <f>62/$CJ$3</f>
        <v>0.2818181818181818</v>
      </c>
      <c r="CL343">
        <v>78</v>
      </c>
      <c r="CM343" s="5">
        <f>CL343/CL371</f>
        <v>0.24374999999999999</v>
      </c>
      <c r="CN343" s="5">
        <f>78/$CN$3</f>
        <v>0.24374999999999999</v>
      </c>
    </row>
    <row r="344" spans="1:93" x14ac:dyDescent="0.25">
      <c r="A344" s="1" t="s">
        <v>2183</v>
      </c>
      <c r="B344">
        <v>210</v>
      </c>
      <c r="C344" s="5">
        <f>B344/B371</f>
        <v>0.21</v>
      </c>
      <c r="D344" s="5">
        <f>210/$D$3</f>
        <v>0.21</v>
      </c>
      <c r="F344">
        <v>94</v>
      </c>
      <c r="G344" s="5">
        <f>F344/F371</f>
        <v>0.19915254237288135</v>
      </c>
      <c r="H344" s="5">
        <f>94/$H$3</f>
        <v>0.19915254237288135</v>
      </c>
      <c r="J344">
        <v>69</v>
      </c>
      <c r="K344" s="5">
        <f>J344/J371</f>
        <v>0.24210526315789474</v>
      </c>
      <c r="L344" s="5">
        <f>69/$L$3</f>
        <v>0.24210526315789474</v>
      </c>
      <c r="N344">
        <v>53</v>
      </c>
      <c r="O344" s="5">
        <f>N344/N371</f>
        <v>0.22844827586206898</v>
      </c>
      <c r="P344" s="5">
        <f>53/$P$3</f>
        <v>0.22844827586206898</v>
      </c>
      <c r="R344">
        <v>66</v>
      </c>
      <c r="S344" s="5">
        <f>R344/R371</f>
        <v>0.22448979591836735</v>
      </c>
      <c r="T344" s="5">
        <f>66/$T$3</f>
        <v>0.22448979591836735</v>
      </c>
      <c r="V344">
        <v>87</v>
      </c>
      <c r="W344" s="5">
        <f>V344/V371</f>
        <v>0.20913461538461539</v>
      </c>
      <c r="X344" s="5">
        <f>87/$X$3</f>
        <v>0.20913461538461539</v>
      </c>
      <c r="Z344">
        <v>86</v>
      </c>
      <c r="AA344" s="5">
        <f>Z344/Z371</f>
        <v>0.20476190476190476</v>
      </c>
      <c r="AB344" s="5">
        <f>86/$AB$3</f>
        <v>0.20476190476190476</v>
      </c>
      <c r="AD344">
        <v>111</v>
      </c>
      <c r="AE344" s="5">
        <f>AD344/AD371</f>
        <v>0.222</v>
      </c>
      <c r="AF344" s="5">
        <f>111/$AF$3</f>
        <v>0.222</v>
      </c>
      <c r="AH344">
        <v>99</v>
      </c>
      <c r="AI344" s="5">
        <f>AH344/AH371</f>
        <v>0.19800000000000001</v>
      </c>
      <c r="AJ344" s="5">
        <f>99/$AJ$3</f>
        <v>0.19800000000000001</v>
      </c>
      <c r="AL344">
        <v>29</v>
      </c>
      <c r="AM344" s="5">
        <f>AL344/AL371</f>
        <v>0.17159763313609466</v>
      </c>
      <c r="AN344" s="5">
        <f>29/$AN$3</f>
        <v>0.17159763313609466</v>
      </c>
      <c r="AP344">
        <v>44</v>
      </c>
      <c r="AQ344" s="5">
        <f>AP344/AP371</f>
        <v>0.14147909967845659</v>
      </c>
      <c r="AR344" s="11">
        <f>44/$AR$3</f>
        <v>0.14147909967845659</v>
      </c>
      <c r="AT344">
        <v>93</v>
      </c>
      <c r="AU344" s="5">
        <f>AT344/AT371</f>
        <v>0.23846153846153847</v>
      </c>
      <c r="AV344" s="5">
        <f>93/$AV$3</f>
        <v>0.23846153846153847</v>
      </c>
      <c r="AW344" s="12"/>
      <c r="AX344">
        <v>44</v>
      </c>
      <c r="AY344" s="5">
        <f>AX344/AX371</f>
        <v>0.33846153846153848</v>
      </c>
      <c r="AZ344" s="10">
        <f>44/$AZ$3</f>
        <v>0.33846153846153848</v>
      </c>
      <c r="BA344" s="12"/>
      <c r="BB344">
        <v>100</v>
      </c>
      <c r="BC344" s="5">
        <f>BB344/BB371</f>
        <v>0.24630541871921183</v>
      </c>
      <c r="BD344" s="5">
        <f>100/$BD$3</f>
        <v>0.24630541871921183</v>
      </c>
      <c r="BE344" s="12"/>
      <c r="BF344">
        <v>77</v>
      </c>
      <c r="BG344" s="5">
        <f>BF344/BF371</f>
        <v>0.20698924731182797</v>
      </c>
      <c r="BH344" s="5">
        <f>77/$BH$3</f>
        <v>0.20698924731182797</v>
      </c>
      <c r="BJ344">
        <v>33</v>
      </c>
      <c r="BK344" s="5">
        <f>BJ344/BJ371</f>
        <v>0.14864864864864866</v>
      </c>
      <c r="BL344" s="11">
        <f>33/$BL$3</f>
        <v>0.14864864864864866</v>
      </c>
      <c r="BN344">
        <v>70</v>
      </c>
      <c r="BO344" s="5">
        <f>BN344/BN371</f>
        <v>0.18421052631578946</v>
      </c>
      <c r="BP344" s="5">
        <f>70/$BP$3</f>
        <v>0.18421052631578946</v>
      </c>
      <c r="BR344">
        <v>92</v>
      </c>
      <c r="BS344" s="5">
        <f>BR344/BR371</f>
        <v>0.24864864864864866</v>
      </c>
      <c r="BT344" s="5">
        <f>92/$BT$3</f>
        <v>0.24864864864864866</v>
      </c>
      <c r="BV344">
        <v>48</v>
      </c>
      <c r="BW344" s="5">
        <f>BV344/BV371</f>
        <v>0.192</v>
      </c>
      <c r="BX344" s="5">
        <f>48/$BX$3</f>
        <v>0.192</v>
      </c>
      <c r="BZ344">
        <v>72</v>
      </c>
      <c r="CA344" s="5">
        <f>BZ344/BZ371</f>
        <v>0.28799999999999998</v>
      </c>
      <c r="CB344" s="10">
        <f>72/$CB$3</f>
        <v>0.28799999999999998</v>
      </c>
      <c r="CC344" s="12"/>
      <c r="CD344">
        <v>38</v>
      </c>
      <c r="CE344" s="5">
        <f>CD344/CD371</f>
        <v>0.18095238095238095</v>
      </c>
      <c r="CF344" s="5">
        <f>38/$CF$3</f>
        <v>0.18095238095238095</v>
      </c>
      <c r="CH344">
        <v>53</v>
      </c>
      <c r="CI344" s="5">
        <f>CH344/CH371</f>
        <v>0.24090909090909091</v>
      </c>
      <c r="CJ344" s="5">
        <f>53/$CJ$3</f>
        <v>0.24090909090909091</v>
      </c>
      <c r="CL344">
        <v>47</v>
      </c>
      <c r="CM344" s="5">
        <f>CL344/CL371</f>
        <v>0.14687500000000001</v>
      </c>
      <c r="CN344" s="11">
        <f>47/$CN$3</f>
        <v>0.14687500000000001</v>
      </c>
    </row>
    <row r="345" spans="1:93" x14ac:dyDescent="0.25">
      <c r="A345" s="1" t="s">
        <v>2188</v>
      </c>
      <c r="B345">
        <v>140</v>
      </c>
      <c r="C345" s="5">
        <f>B345/B371</f>
        <v>0.14000000000000001</v>
      </c>
      <c r="D345" s="5">
        <f>140/$D$3</f>
        <v>0.14000000000000001</v>
      </c>
      <c r="F345">
        <v>85</v>
      </c>
      <c r="G345" s="5">
        <f>F345/F371</f>
        <v>0.18008474576271186</v>
      </c>
      <c r="H345" s="5">
        <f>85/$H$3</f>
        <v>0.18008474576271186</v>
      </c>
      <c r="J345">
        <v>35</v>
      </c>
      <c r="K345" s="5">
        <f>J345/J371</f>
        <v>0.12280701754385964</v>
      </c>
      <c r="L345" s="5">
        <f>35/$L$3</f>
        <v>0.12280701754385964</v>
      </c>
      <c r="N345">
        <v>48</v>
      </c>
      <c r="O345" s="5">
        <f>N345/N371</f>
        <v>0.20689655172413793</v>
      </c>
      <c r="P345" s="10">
        <f>48/$P$3</f>
        <v>0.20689655172413793</v>
      </c>
      <c r="R345">
        <v>56</v>
      </c>
      <c r="S345" s="5">
        <f>R345/R371</f>
        <v>0.19047619047619047</v>
      </c>
      <c r="T345" s="10">
        <f>56/$T$3</f>
        <v>0.19047619047619047</v>
      </c>
      <c r="V345">
        <v>73</v>
      </c>
      <c r="W345" s="5">
        <f>V345/V371</f>
        <v>0.17548076923076922</v>
      </c>
      <c r="X345" s="5">
        <f>73/$X$3</f>
        <v>0.17548076923076922</v>
      </c>
      <c r="Z345">
        <v>76</v>
      </c>
      <c r="AA345" s="5">
        <f>Z345/Z371</f>
        <v>0.18095238095238095</v>
      </c>
      <c r="AB345" s="5">
        <f>76/$AB$3</f>
        <v>0.18095238095238095</v>
      </c>
      <c r="AD345">
        <v>81</v>
      </c>
      <c r="AE345" s="5">
        <f>AD345/AD371</f>
        <v>0.16200000000000001</v>
      </c>
      <c r="AF345" s="5">
        <f>81/$AF$3</f>
        <v>0.16200000000000001</v>
      </c>
      <c r="AH345">
        <v>59</v>
      </c>
      <c r="AI345" s="5">
        <f>AH345/AH371</f>
        <v>0.11799999999999999</v>
      </c>
      <c r="AJ345" s="5">
        <f>59/$AJ$3</f>
        <v>0.11799999999999999</v>
      </c>
      <c r="AL345">
        <v>28</v>
      </c>
      <c r="AM345" s="5">
        <f>AL345/AL371</f>
        <v>0.16568047337278108</v>
      </c>
      <c r="AN345" s="5">
        <f>28/$AN$3</f>
        <v>0.16568047337278108</v>
      </c>
      <c r="AP345">
        <v>40</v>
      </c>
      <c r="AQ345" s="5">
        <f>AP345/AP371</f>
        <v>0.12861736334405144</v>
      </c>
      <c r="AR345" s="5">
        <f>40/$AR$3</f>
        <v>0.12861736334405144</v>
      </c>
      <c r="AT345">
        <v>55</v>
      </c>
      <c r="AU345" s="5">
        <f>AT345/AT371</f>
        <v>0.14102564102564102</v>
      </c>
      <c r="AV345" s="5">
        <f>55/$AV$3</f>
        <v>0.14102564102564102</v>
      </c>
      <c r="AX345">
        <v>17</v>
      </c>
      <c r="AY345" s="5">
        <f>AX345/AX371</f>
        <v>0.13076923076923078</v>
      </c>
      <c r="AZ345" s="5">
        <f>17/$AZ$3</f>
        <v>0.13076923076923078</v>
      </c>
      <c r="BB345">
        <v>17</v>
      </c>
      <c r="BC345" s="5">
        <f>BB345/BB371</f>
        <v>4.1871921182266007E-2</v>
      </c>
      <c r="BD345" s="11">
        <f>17/$BD$3</f>
        <v>4.1871921182266007E-2</v>
      </c>
      <c r="BF345">
        <v>70</v>
      </c>
      <c r="BG345" s="5">
        <f>BF345/BF371</f>
        <v>0.18817204301075269</v>
      </c>
      <c r="BH345" s="5">
        <f>70/$BH$3</f>
        <v>0.18817204301075269</v>
      </c>
      <c r="BI345" s="12"/>
      <c r="BJ345">
        <v>53</v>
      </c>
      <c r="BK345" s="5">
        <f>BJ345/BJ371</f>
        <v>0.23873873873873874</v>
      </c>
      <c r="BL345" s="10">
        <f>53/$BL$3</f>
        <v>0.23873873873873874</v>
      </c>
      <c r="BM345" s="12"/>
      <c r="BN345">
        <v>45</v>
      </c>
      <c r="BO345" s="5">
        <f>BN345/BN371</f>
        <v>0.11842105263157894</v>
      </c>
      <c r="BP345" s="5">
        <f>45/$BP$3</f>
        <v>0.11842105263157894</v>
      </c>
      <c r="BR345">
        <v>50</v>
      </c>
      <c r="BS345" s="5">
        <f>BR345/BR371</f>
        <v>0.13513513513513514</v>
      </c>
      <c r="BT345" s="5">
        <f>50/$BT$3</f>
        <v>0.13513513513513514</v>
      </c>
      <c r="BV345">
        <v>45</v>
      </c>
      <c r="BW345" s="5">
        <f>BV345/BV371</f>
        <v>0.18</v>
      </c>
      <c r="BX345" s="5">
        <f>45/$BX$3</f>
        <v>0.18</v>
      </c>
      <c r="BZ345">
        <v>28</v>
      </c>
      <c r="CA345" s="5">
        <f>BZ345/BZ371</f>
        <v>0.112</v>
      </c>
      <c r="CB345" s="5">
        <f>28/$CB$3</f>
        <v>0.112</v>
      </c>
      <c r="CD345">
        <v>27</v>
      </c>
      <c r="CE345" s="5">
        <f>CD345/CD371</f>
        <v>0.12857142857142856</v>
      </c>
      <c r="CF345" s="5">
        <f>27/$CF$3</f>
        <v>0.12857142857142856</v>
      </c>
      <c r="CH345">
        <v>32</v>
      </c>
      <c r="CI345" s="5">
        <f>CH345/CH371</f>
        <v>0.14545454545454545</v>
      </c>
      <c r="CJ345" s="5">
        <f>32/$CJ$3</f>
        <v>0.14545454545454545</v>
      </c>
      <c r="CL345">
        <v>53</v>
      </c>
      <c r="CM345" s="5">
        <f>CL345/CL371</f>
        <v>0.16562499999999999</v>
      </c>
      <c r="CN345" s="5">
        <f>53/$CN$3</f>
        <v>0.16562499999999999</v>
      </c>
    </row>
    <row r="346" spans="1:93" x14ac:dyDescent="0.25">
      <c r="A346" s="1" t="s">
        <v>2189</v>
      </c>
      <c r="B346">
        <v>68</v>
      </c>
      <c r="C346" s="5">
        <f>B346/B371</f>
        <v>6.8000000000000005E-2</v>
      </c>
      <c r="D346" s="5">
        <f>68/$D$3</f>
        <v>6.8000000000000005E-2</v>
      </c>
      <c r="F346">
        <v>45</v>
      </c>
      <c r="G346" s="5">
        <f>F346/F371</f>
        <v>9.5338983050847453E-2</v>
      </c>
      <c r="H346" s="5">
        <f>45/$H$3</f>
        <v>9.5338983050847453E-2</v>
      </c>
      <c r="J346">
        <v>20</v>
      </c>
      <c r="K346" s="5">
        <f>J346/J371</f>
        <v>7.0175438596491224E-2</v>
      </c>
      <c r="L346" s="5">
        <f>20/$L$3</f>
        <v>7.0175438596491224E-2</v>
      </c>
      <c r="N346">
        <v>22</v>
      </c>
      <c r="O346" s="5">
        <f>N346/N371</f>
        <v>9.4827586206896547E-2</v>
      </c>
      <c r="P346" s="5">
        <f>22/$P$3</f>
        <v>9.4827586206896547E-2</v>
      </c>
      <c r="R346">
        <v>31</v>
      </c>
      <c r="S346" s="5">
        <f>R346/R371</f>
        <v>0.10544217687074831</v>
      </c>
      <c r="T346" s="5">
        <f>31/$T$3</f>
        <v>0.10544217687074831</v>
      </c>
      <c r="V346">
        <v>43</v>
      </c>
      <c r="W346" s="5">
        <f>V346/V371</f>
        <v>0.10336538461538461</v>
      </c>
      <c r="X346" s="5">
        <f>43/$X$3</f>
        <v>0.10336538461538461</v>
      </c>
      <c r="Z346">
        <v>42</v>
      </c>
      <c r="AA346" s="5">
        <f>Z346/Z371</f>
        <v>0.1</v>
      </c>
      <c r="AB346" s="5">
        <f>42/$AB$3</f>
        <v>0.1</v>
      </c>
      <c r="AD346">
        <v>31</v>
      </c>
      <c r="AE346" s="5">
        <f>AD346/AD371</f>
        <v>6.2E-2</v>
      </c>
      <c r="AF346" s="5">
        <f>31/$AF$3</f>
        <v>6.2E-2</v>
      </c>
      <c r="AH346">
        <v>37</v>
      </c>
      <c r="AI346" s="5">
        <f>AH346/AH371</f>
        <v>7.3999999999999996E-2</v>
      </c>
      <c r="AJ346" s="5">
        <f>37/$AJ$3</f>
        <v>7.3999999999999996E-2</v>
      </c>
      <c r="AL346">
        <v>19</v>
      </c>
      <c r="AM346" s="5">
        <f>AL346/AL371</f>
        <v>0.11242603550295859</v>
      </c>
      <c r="AN346" s="5">
        <f>19/$AN$3</f>
        <v>0.11242603550295859</v>
      </c>
      <c r="AO346" s="12"/>
      <c r="AP346">
        <v>27</v>
      </c>
      <c r="AQ346" s="5">
        <f>AP346/AP371</f>
        <v>8.6816720257234734E-2</v>
      </c>
      <c r="AR346" s="5">
        <f>27/$AR$3</f>
        <v>8.6816720257234734E-2</v>
      </c>
      <c r="AT346">
        <v>18</v>
      </c>
      <c r="AU346" s="5">
        <f>AT346/AT371</f>
        <v>4.6153846153846156E-2</v>
      </c>
      <c r="AV346" s="5">
        <f>18/$AV$3</f>
        <v>4.6153846153846156E-2</v>
      </c>
      <c r="AX346">
        <v>4</v>
      </c>
      <c r="AY346" s="5">
        <f>AX346/AX371</f>
        <v>3.0769230769230771E-2</v>
      </c>
      <c r="AZ346" s="5">
        <f>4/$AZ$3</f>
        <v>3.0769230769230771E-2</v>
      </c>
      <c r="BB346">
        <v>6</v>
      </c>
      <c r="BC346" s="5">
        <f>BB346/BB371</f>
        <v>1.4778325123152709E-2</v>
      </c>
      <c r="BD346" s="11">
        <f>6/$BD$3</f>
        <v>1.4778325123152709E-2</v>
      </c>
      <c r="BF346">
        <v>30</v>
      </c>
      <c r="BG346" s="5">
        <f>BF346/BF371</f>
        <v>8.0645161290322578E-2</v>
      </c>
      <c r="BH346" s="5">
        <f>30/$BH$3</f>
        <v>8.0645161290322578E-2</v>
      </c>
      <c r="BI346" s="12"/>
      <c r="BJ346">
        <v>32</v>
      </c>
      <c r="BK346" s="5">
        <f>BJ346/BJ371</f>
        <v>0.14414414414414414</v>
      </c>
      <c r="BL346" s="5">
        <f>32/$BL$3</f>
        <v>0.14414414414414414</v>
      </c>
      <c r="BM346" s="12"/>
      <c r="BN346">
        <v>20</v>
      </c>
      <c r="BO346" s="5">
        <f>BN346/BN371</f>
        <v>5.2631578947368418E-2</v>
      </c>
      <c r="BP346" s="5">
        <f>20/$BP$3</f>
        <v>5.2631578947368418E-2</v>
      </c>
      <c r="BR346">
        <v>27</v>
      </c>
      <c r="BS346" s="5">
        <f>BR346/BR371</f>
        <v>7.2972972972972977E-2</v>
      </c>
      <c r="BT346" s="5">
        <f>27/$BT$3</f>
        <v>7.2972972972972977E-2</v>
      </c>
      <c r="BV346">
        <v>21</v>
      </c>
      <c r="BW346" s="5">
        <f>BV346/BV371</f>
        <v>8.4000000000000005E-2</v>
      </c>
      <c r="BX346" s="5">
        <f>21/$BX$3</f>
        <v>8.4000000000000005E-2</v>
      </c>
      <c r="BZ346">
        <v>17</v>
      </c>
      <c r="CA346" s="5">
        <f>BZ346/BZ371</f>
        <v>6.8000000000000005E-2</v>
      </c>
      <c r="CB346" s="5">
        <f>17/$CB$3</f>
        <v>6.8000000000000005E-2</v>
      </c>
      <c r="CD346">
        <v>14</v>
      </c>
      <c r="CE346" s="5">
        <f>CD346/CD371</f>
        <v>6.6666666666666666E-2</v>
      </c>
      <c r="CF346" s="5">
        <f>14/$CF$3</f>
        <v>6.6666666666666666E-2</v>
      </c>
      <c r="CH346">
        <v>8</v>
      </c>
      <c r="CI346" s="5">
        <f>CH346/CH371</f>
        <v>3.6363636363636362E-2</v>
      </c>
      <c r="CJ346" s="5">
        <f>8/$CJ$3</f>
        <v>3.6363636363636362E-2</v>
      </c>
      <c r="CL346">
        <v>29</v>
      </c>
      <c r="CM346" s="5">
        <f>CL346/CL371</f>
        <v>9.0624999999999997E-2</v>
      </c>
      <c r="CN346" s="5">
        <f>29/$CN$3</f>
        <v>9.0624999999999997E-2</v>
      </c>
    </row>
    <row r="347" spans="1:93" x14ac:dyDescent="0.25">
      <c r="A347" s="1" t="s">
        <v>2186</v>
      </c>
      <c r="B347">
        <v>60</v>
      </c>
      <c r="C347" s="5">
        <f>B347/B371</f>
        <v>0.06</v>
      </c>
      <c r="D347" s="5">
        <f>60/$D$3</f>
        <v>0.06</v>
      </c>
      <c r="F347">
        <v>35</v>
      </c>
      <c r="G347" s="5">
        <f>F347/F371</f>
        <v>7.4152542372881353E-2</v>
      </c>
      <c r="H347" s="5">
        <f>35/$H$3</f>
        <v>7.4152542372881353E-2</v>
      </c>
      <c r="J347">
        <v>18</v>
      </c>
      <c r="K347" s="5">
        <f>J347/J371</f>
        <v>6.3157894736842107E-2</v>
      </c>
      <c r="L347" s="5">
        <f>18/$L$3</f>
        <v>6.3157894736842107E-2</v>
      </c>
      <c r="N347">
        <v>19</v>
      </c>
      <c r="O347" s="5">
        <f>N347/N371</f>
        <v>8.1896551724137928E-2</v>
      </c>
      <c r="P347" s="5">
        <f>19/$P$3</f>
        <v>8.1896551724137928E-2</v>
      </c>
      <c r="R347">
        <v>25</v>
      </c>
      <c r="S347" s="5">
        <f>R347/R371</f>
        <v>8.5034013605442174E-2</v>
      </c>
      <c r="T347" s="5">
        <f>25/$T$3</f>
        <v>8.5034013605442174E-2</v>
      </c>
      <c r="V347">
        <v>30</v>
      </c>
      <c r="W347" s="5">
        <f>V347/V371</f>
        <v>7.2115384615384609E-2</v>
      </c>
      <c r="X347" s="5">
        <f>30/$X$3</f>
        <v>7.2115384615384609E-2</v>
      </c>
      <c r="Z347">
        <v>35</v>
      </c>
      <c r="AA347" s="5">
        <f>Z347/Z371</f>
        <v>8.3333333333333329E-2</v>
      </c>
      <c r="AB347" s="5">
        <f>35/$AB$3</f>
        <v>8.3333333333333329E-2</v>
      </c>
      <c r="AD347">
        <v>32</v>
      </c>
      <c r="AE347" s="5">
        <f>AD347/AD371</f>
        <v>6.4000000000000001E-2</v>
      </c>
      <c r="AF347" s="5">
        <f>32/$AF$3</f>
        <v>6.4000000000000001E-2</v>
      </c>
      <c r="AH347">
        <v>28</v>
      </c>
      <c r="AI347" s="5">
        <f>AH347/AH371</f>
        <v>5.6000000000000001E-2</v>
      </c>
      <c r="AJ347" s="5">
        <f>28/$AJ$3</f>
        <v>5.6000000000000001E-2</v>
      </c>
      <c r="AL347">
        <v>18</v>
      </c>
      <c r="AM347" s="5">
        <f>AL347/AL371</f>
        <v>0.10650887573964497</v>
      </c>
      <c r="AN347" s="5">
        <f>18/$AN$3</f>
        <v>0.10650887573964497</v>
      </c>
      <c r="AP347">
        <v>16</v>
      </c>
      <c r="AQ347" s="5">
        <f>AP347/AP371</f>
        <v>5.1446945337620578E-2</v>
      </c>
      <c r="AR347" s="5">
        <f>16/$AR$3</f>
        <v>5.1446945337620578E-2</v>
      </c>
      <c r="AT347">
        <v>16</v>
      </c>
      <c r="AU347" s="5">
        <f>AT347/AT371</f>
        <v>4.1025641025641026E-2</v>
      </c>
      <c r="AV347" s="5">
        <f>16/$AV$3</f>
        <v>4.1025641025641026E-2</v>
      </c>
      <c r="AX347">
        <v>10</v>
      </c>
      <c r="AY347" s="5">
        <f>AX347/AX371</f>
        <v>7.6923076923076927E-2</v>
      </c>
      <c r="AZ347" s="5">
        <f>10/$AZ$3</f>
        <v>7.6923076923076927E-2</v>
      </c>
      <c r="BB347">
        <v>10</v>
      </c>
      <c r="BC347" s="5">
        <f>BB347/BB371</f>
        <v>2.4630541871921183E-2</v>
      </c>
      <c r="BD347" s="5">
        <f>10/$BD$3</f>
        <v>2.4630541871921183E-2</v>
      </c>
      <c r="BF347">
        <v>19</v>
      </c>
      <c r="BG347" s="5">
        <f>BF347/BF371</f>
        <v>5.1075268817204304E-2</v>
      </c>
      <c r="BH347" s="5">
        <f>19/$BH$3</f>
        <v>5.1075268817204304E-2</v>
      </c>
      <c r="BJ347">
        <v>31</v>
      </c>
      <c r="BK347" s="5">
        <f>BJ347/BJ371</f>
        <v>0.13963963963963963</v>
      </c>
      <c r="BL347" s="5">
        <f>31/$BL$3</f>
        <v>0.13963963963963963</v>
      </c>
      <c r="BM347" s="12"/>
      <c r="BN347">
        <v>16</v>
      </c>
      <c r="BO347" s="5">
        <f>BN347/BN371</f>
        <v>4.2105263157894736E-2</v>
      </c>
      <c r="BP347" s="5">
        <f>16/$BP$3</f>
        <v>4.2105263157894736E-2</v>
      </c>
      <c r="BR347">
        <v>31</v>
      </c>
      <c r="BS347" s="5">
        <f>BR347/BR371</f>
        <v>8.3783783783783788E-2</v>
      </c>
      <c r="BT347" s="5">
        <f>31/$BT$3</f>
        <v>8.3783783783783788E-2</v>
      </c>
      <c r="BV347">
        <v>13</v>
      </c>
      <c r="BW347" s="5">
        <f>BV347/BV371</f>
        <v>5.1999999999999998E-2</v>
      </c>
      <c r="BX347" s="5">
        <f>13/$BX$3</f>
        <v>5.1999999999999998E-2</v>
      </c>
      <c r="BZ347">
        <v>9</v>
      </c>
      <c r="CA347" s="5">
        <f>BZ347/BZ371</f>
        <v>3.5999999999999997E-2</v>
      </c>
      <c r="CB347" s="5">
        <f>9/$CB$3</f>
        <v>3.5999999999999997E-2</v>
      </c>
      <c r="CD347">
        <v>10</v>
      </c>
      <c r="CE347" s="5">
        <f>CD347/CD371</f>
        <v>4.7619047619047616E-2</v>
      </c>
      <c r="CF347" s="5">
        <f>10/$CF$3</f>
        <v>4.7619047619047616E-2</v>
      </c>
      <c r="CH347">
        <v>7</v>
      </c>
      <c r="CI347" s="5">
        <f>CH347/CH371</f>
        <v>3.1818181818181815E-2</v>
      </c>
      <c r="CJ347" s="5">
        <f>7/$CJ$3</f>
        <v>3.1818181818181815E-2</v>
      </c>
      <c r="CL347">
        <v>34</v>
      </c>
      <c r="CM347" s="5">
        <f>CL347/CL371</f>
        <v>0.10625</v>
      </c>
      <c r="CN347" s="5">
        <f>34/$CN$3</f>
        <v>0.10625</v>
      </c>
      <c r="CO347" s="12"/>
    </row>
    <row r="348" spans="1:93" x14ac:dyDescent="0.25">
      <c r="A348" s="1" t="s">
        <v>2187</v>
      </c>
      <c r="B348">
        <v>50</v>
      </c>
      <c r="C348" s="5">
        <f>B348/B371</f>
        <v>0.05</v>
      </c>
      <c r="D348" s="5">
        <f>50/$D$3</f>
        <v>0.05</v>
      </c>
      <c r="F348">
        <v>19</v>
      </c>
      <c r="G348" s="5">
        <f>F348/F371</f>
        <v>4.025423728813559E-2</v>
      </c>
      <c r="H348" s="5">
        <f>19/$H$3</f>
        <v>4.025423728813559E-2</v>
      </c>
      <c r="J348">
        <v>17</v>
      </c>
      <c r="K348" s="5">
        <f>J348/J371</f>
        <v>5.9649122807017542E-2</v>
      </c>
      <c r="L348" s="5">
        <f>17/$L$3</f>
        <v>5.9649122807017542E-2</v>
      </c>
      <c r="N348">
        <v>9</v>
      </c>
      <c r="O348" s="5">
        <f>N348/N371</f>
        <v>3.8793103448275863E-2</v>
      </c>
      <c r="P348" s="5">
        <f>9/$P$3</f>
        <v>3.8793103448275863E-2</v>
      </c>
      <c r="R348">
        <v>8</v>
      </c>
      <c r="S348" s="5">
        <f>R348/R371</f>
        <v>2.7210884353741496E-2</v>
      </c>
      <c r="T348" s="5">
        <f>8/$T$3</f>
        <v>2.7210884353741496E-2</v>
      </c>
      <c r="V348">
        <v>18</v>
      </c>
      <c r="W348" s="5">
        <f>V348/V371</f>
        <v>4.3269230769230768E-2</v>
      </c>
      <c r="X348" s="5">
        <f>18/$X$3</f>
        <v>4.3269230769230768E-2</v>
      </c>
      <c r="Z348">
        <v>16</v>
      </c>
      <c r="AA348" s="5">
        <f>Z348/Z371</f>
        <v>3.8095238095238099E-2</v>
      </c>
      <c r="AB348" s="5">
        <f>16/$AB$3</f>
        <v>3.8095238095238099E-2</v>
      </c>
      <c r="AD348">
        <v>25</v>
      </c>
      <c r="AE348" s="5">
        <f>AD348/AD371</f>
        <v>0.05</v>
      </c>
      <c r="AF348" s="5">
        <f>25/$AF$3</f>
        <v>0.05</v>
      </c>
      <c r="AH348">
        <v>25</v>
      </c>
      <c r="AI348" s="5">
        <f>AH348/AH371</f>
        <v>0.05</v>
      </c>
      <c r="AJ348" s="5">
        <f>25/$AJ$3</f>
        <v>0.05</v>
      </c>
      <c r="AL348">
        <v>2</v>
      </c>
      <c r="AM348" s="5">
        <f>AL348/AL371</f>
        <v>1.1834319526627219E-2</v>
      </c>
      <c r="AN348" s="5">
        <f>2/$AN$3</f>
        <v>1.1834319526627219E-2</v>
      </c>
      <c r="AP348">
        <v>11</v>
      </c>
      <c r="AQ348" s="5">
        <f>AP348/AP371</f>
        <v>3.5369774919614148E-2</v>
      </c>
      <c r="AR348" s="5">
        <f>11/$AR$3</f>
        <v>3.5369774919614148E-2</v>
      </c>
      <c r="AT348">
        <v>29</v>
      </c>
      <c r="AU348" s="5">
        <f>AT348/AT371</f>
        <v>7.4358974358974358E-2</v>
      </c>
      <c r="AV348" s="5">
        <f>29/$AV$3</f>
        <v>7.4358974358974358E-2</v>
      </c>
      <c r="AW348" s="12"/>
      <c r="AX348">
        <v>8</v>
      </c>
      <c r="AY348" s="5">
        <f>AX348/AX371</f>
        <v>6.1538461538461542E-2</v>
      </c>
      <c r="AZ348" s="5">
        <f>8/$AZ$3</f>
        <v>6.1538461538461542E-2</v>
      </c>
      <c r="BB348">
        <v>26</v>
      </c>
      <c r="BC348" s="5">
        <f>BB348/BB371</f>
        <v>6.4039408866995079E-2</v>
      </c>
      <c r="BD348" s="5">
        <f>26/$BD$3</f>
        <v>6.4039408866995079E-2</v>
      </c>
      <c r="BF348">
        <v>15</v>
      </c>
      <c r="BG348" s="5">
        <f>BF348/BF371</f>
        <v>4.0322580645161289E-2</v>
      </c>
      <c r="BH348" s="5">
        <f>15/$BH$3</f>
        <v>4.0322580645161289E-2</v>
      </c>
      <c r="BJ348">
        <v>9</v>
      </c>
      <c r="BK348" s="5">
        <f>BJ348/BJ371</f>
        <v>4.0540540540540543E-2</v>
      </c>
      <c r="BL348" s="5">
        <f>9/$BL$3</f>
        <v>4.0540540540540543E-2</v>
      </c>
      <c r="BN348">
        <v>16</v>
      </c>
      <c r="BO348" s="5">
        <f>BN348/BN371</f>
        <v>4.2105263157894736E-2</v>
      </c>
      <c r="BP348" s="5">
        <f>16/$BP$3</f>
        <v>4.2105263157894736E-2</v>
      </c>
      <c r="BR348">
        <v>22</v>
      </c>
      <c r="BS348" s="5">
        <f>BR348/BR371</f>
        <v>5.9459459459459463E-2</v>
      </c>
      <c r="BT348" s="5">
        <f>22/$BT$3</f>
        <v>5.9459459459459463E-2</v>
      </c>
      <c r="BV348">
        <v>12</v>
      </c>
      <c r="BW348" s="5">
        <f>BV348/BV371</f>
        <v>4.8000000000000001E-2</v>
      </c>
      <c r="BX348" s="5">
        <f>12/$BX$3</f>
        <v>4.8000000000000001E-2</v>
      </c>
      <c r="BZ348">
        <v>14</v>
      </c>
      <c r="CA348" s="5">
        <f>BZ348/BZ371</f>
        <v>5.6000000000000001E-2</v>
      </c>
      <c r="CB348" s="5">
        <f>14/$CB$3</f>
        <v>5.6000000000000001E-2</v>
      </c>
      <c r="CD348">
        <v>10</v>
      </c>
      <c r="CE348" s="5">
        <f>CD348/CD371</f>
        <v>4.7619047619047616E-2</v>
      </c>
      <c r="CF348" s="5">
        <f>10/$CF$3</f>
        <v>4.7619047619047616E-2</v>
      </c>
      <c r="CH348">
        <v>17</v>
      </c>
      <c r="CI348" s="5">
        <f>CH348/CH371</f>
        <v>7.7272727272727271E-2</v>
      </c>
      <c r="CJ348" s="5">
        <f>17/$CJ$3</f>
        <v>7.7272727272727271E-2</v>
      </c>
      <c r="CL348">
        <v>9</v>
      </c>
      <c r="CM348" s="5">
        <f>CL348/CL371</f>
        <v>2.8125000000000001E-2</v>
      </c>
      <c r="CN348" s="5">
        <f>9/$CN$3</f>
        <v>2.8125000000000001E-2</v>
      </c>
    </row>
    <row r="349" spans="1:93" x14ac:dyDescent="0.25">
      <c r="A349" s="1" t="s">
        <v>2184</v>
      </c>
      <c r="B349">
        <v>39</v>
      </c>
      <c r="C349" s="5">
        <f>B349/B371</f>
        <v>3.9E-2</v>
      </c>
      <c r="D349" s="5">
        <f>39/$D$3</f>
        <v>3.9E-2</v>
      </c>
      <c r="F349">
        <v>19</v>
      </c>
      <c r="G349" s="5">
        <f>F349/F371</f>
        <v>4.025423728813559E-2</v>
      </c>
      <c r="H349" s="5">
        <f>19/$H$3</f>
        <v>4.025423728813559E-2</v>
      </c>
      <c r="J349">
        <v>11</v>
      </c>
      <c r="K349" s="5">
        <f>J349/J371</f>
        <v>3.8596491228070177E-2</v>
      </c>
      <c r="L349" s="5">
        <f>11/$L$3</f>
        <v>3.8596491228070177E-2</v>
      </c>
      <c r="N349">
        <v>11</v>
      </c>
      <c r="O349" s="5">
        <f>N349/N371</f>
        <v>4.7413793103448273E-2</v>
      </c>
      <c r="P349" s="5">
        <f>11/$P$3</f>
        <v>4.7413793103448273E-2</v>
      </c>
      <c r="R349">
        <v>13</v>
      </c>
      <c r="S349" s="5">
        <f>R349/R371</f>
        <v>4.4217687074829932E-2</v>
      </c>
      <c r="T349" s="5">
        <f>13/$T$3</f>
        <v>4.4217687074829932E-2</v>
      </c>
      <c r="V349">
        <v>16</v>
      </c>
      <c r="W349" s="5">
        <f>V349/V371</f>
        <v>3.8461538461538464E-2</v>
      </c>
      <c r="X349" s="5">
        <f>16/$X$3</f>
        <v>3.8461538461538464E-2</v>
      </c>
      <c r="Z349">
        <v>18</v>
      </c>
      <c r="AA349" s="5">
        <f>Z349/Z371</f>
        <v>4.2857142857142858E-2</v>
      </c>
      <c r="AB349" s="5">
        <f>18/$AB$3</f>
        <v>4.2857142857142858E-2</v>
      </c>
      <c r="AD349">
        <v>28</v>
      </c>
      <c r="AE349" s="5">
        <f>AD349/AD371</f>
        <v>5.6000000000000001E-2</v>
      </c>
      <c r="AF349" s="5">
        <f>28/$AF$3</f>
        <v>5.6000000000000001E-2</v>
      </c>
      <c r="AH349">
        <v>11</v>
      </c>
      <c r="AI349" s="5">
        <f>AH349/AH371</f>
        <v>2.1999999999999999E-2</v>
      </c>
      <c r="AJ349" s="5">
        <f>11/$AJ$3</f>
        <v>2.1999999999999999E-2</v>
      </c>
      <c r="AL349">
        <v>7</v>
      </c>
      <c r="AM349" s="5">
        <f>AL349/AL371</f>
        <v>4.142011834319527E-2</v>
      </c>
      <c r="AN349" s="5">
        <f>7/$AN$3</f>
        <v>4.142011834319527E-2</v>
      </c>
      <c r="AP349">
        <v>16</v>
      </c>
      <c r="AQ349" s="5">
        <f>AP349/AP371</f>
        <v>5.1446945337620578E-2</v>
      </c>
      <c r="AR349" s="5">
        <f>16/$AR$3</f>
        <v>5.1446945337620578E-2</v>
      </c>
      <c r="AT349">
        <v>15</v>
      </c>
      <c r="AU349" s="5">
        <f>AT349/AT371</f>
        <v>3.8461538461538464E-2</v>
      </c>
      <c r="AV349" s="5">
        <f>15/$AV$3</f>
        <v>3.8461538461538464E-2</v>
      </c>
      <c r="AX349">
        <v>1</v>
      </c>
      <c r="AY349" s="5">
        <f>AX349/AX371</f>
        <v>7.6923076923076927E-3</v>
      </c>
      <c r="AZ349" s="5">
        <f>1/$AZ$3</f>
        <v>7.6923076923076927E-3</v>
      </c>
      <c r="BB349">
        <v>13</v>
      </c>
      <c r="BC349" s="5">
        <f>BB349/BB371</f>
        <v>3.2019704433497539E-2</v>
      </c>
      <c r="BD349" s="5">
        <f>13/$BD$3</f>
        <v>3.2019704433497539E-2</v>
      </c>
      <c r="BF349">
        <v>17</v>
      </c>
      <c r="BG349" s="5">
        <f>BF349/BF371</f>
        <v>4.5698924731182797E-2</v>
      </c>
      <c r="BH349" s="5">
        <f>17/$BH$3</f>
        <v>4.5698924731182797E-2</v>
      </c>
      <c r="BJ349">
        <v>9</v>
      </c>
      <c r="BK349" s="5">
        <f>BJ349/BJ371</f>
        <v>4.0540540540540543E-2</v>
      </c>
      <c r="BL349" s="5">
        <f>9/$BL$3</f>
        <v>4.0540540540540543E-2</v>
      </c>
      <c r="BN349">
        <v>13</v>
      </c>
      <c r="BO349" s="5">
        <f>BN349/BN371</f>
        <v>3.4210526315789476E-2</v>
      </c>
      <c r="BP349" s="5">
        <f>13/$BP$3</f>
        <v>3.4210526315789476E-2</v>
      </c>
      <c r="BR349">
        <v>17</v>
      </c>
      <c r="BS349" s="5">
        <f>BR349/BR371</f>
        <v>4.5945945945945948E-2</v>
      </c>
      <c r="BT349" s="5">
        <f>17/$BT$3</f>
        <v>4.5945945945945948E-2</v>
      </c>
      <c r="BV349">
        <v>9</v>
      </c>
      <c r="BW349" s="5">
        <f>BV349/BV371</f>
        <v>3.5999999999999997E-2</v>
      </c>
      <c r="BX349" s="5">
        <f>9/$BX$3</f>
        <v>3.5999999999999997E-2</v>
      </c>
      <c r="BZ349">
        <v>12</v>
      </c>
      <c r="CA349" s="5">
        <f>BZ349/BZ371</f>
        <v>4.8000000000000001E-2</v>
      </c>
      <c r="CB349" s="5">
        <f>12/$CB$3</f>
        <v>4.8000000000000001E-2</v>
      </c>
      <c r="CD349">
        <v>7</v>
      </c>
      <c r="CE349" s="5">
        <f>CD349/CD371</f>
        <v>3.3333333333333333E-2</v>
      </c>
      <c r="CF349" s="5">
        <f>7/$CF$3</f>
        <v>3.3333333333333333E-2</v>
      </c>
      <c r="CH349">
        <v>6</v>
      </c>
      <c r="CI349" s="5">
        <f>CH349/CH371</f>
        <v>2.7272727272727271E-2</v>
      </c>
      <c r="CJ349" s="5">
        <f>6/$CJ$3</f>
        <v>2.7272727272727271E-2</v>
      </c>
      <c r="CL349">
        <v>14</v>
      </c>
      <c r="CM349" s="5">
        <f>CL349/CL371</f>
        <v>4.3749999999999997E-2</v>
      </c>
      <c r="CN349" s="5">
        <f>14/$CN$3</f>
        <v>4.3749999999999997E-2</v>
      </c>
    </row>
    <row r="350" spans="1:93" x14ac:dyDescent="0.25">
      <c r="A350" s="1" t="s">
        <v>2185</v>
      </c>
      <c r="B350">
        <v>319</v>
      </c>
      <c r="C350" s="5">
        <f>B350/B371</f>
        <v>0.31900000000000001</v>
      </c>
      <c r="D350" s="5">
        <f>319/$D$3</f>
        <v>0.31900000000000001</v>
      </c>
      <c r="F350">
        <v>133</v>
      </c>
      <c r="G350" s="5">
        <f>F350/F371</f>
        <v>0.28177966101694918</v>
      </c>
      <c r="H350" s="5">
        <f>133/$H$3</f>
        <v>0.28177966101694918</v>
      </c>
      <c r="J350">
        <v>79</v>
      </c>
      <c r="K350" s="5">
        <f>J350/J371</f>
        <v>0.27719298245614032</v>
      </c>
      <c r="L350" s="5">
        <f>79/$L$3</f>
        <v>0.27719298245614032</v>
      </c>
      <c r="N350">
        <v>46</v>
      </c>
      <c r="O350" s="5">
        <f>N350/N371</f>
        <v>0.19827586206896552</v>
      </c>
      <c r="P350" s="11">
        <f>46/$P$3</f>
        <v>0.19827586206896552</v>
      </c>
      <c r="R350">
        <v>71</v>
      </c>
      <c r="S350" s="5">
        <f>R350/R371</f>
        <v>0.24149659863945577</v>
      </c>
      <c r="T350" s="11">
        <f>71/$T$3</f>
        <v>0.24149659863945577</v>
      </c>
      <c r="V350">
        <v>115</v>
      </c>
      <c r="W350" s="5">
        <f>V350/V371</f>
        <v>0.27644230769230771</v>
      </c>
      <c r="X350" s="5">
        <f>115/$X$3</f>
        <v>0.27644230769230771</v>
      </c>
      <c r="Z350">
        <v>112</v>
      </c>
      <c r="AA350" s="5">
        <f>Z350/Z371</f>
        <v>0.26666666666666666</v>
      </c>
      <c r="AB350" s="11">
        <f>112/$AB$3</f>
        <v>0.26666666666666666</v>
      </c>
      <c r="AD350">
        <v>116</v>
      </c>
      <c r="AE350" s="5">
        <f>AD350/AD371</f>
        <v>0.23200000000000001</v>
      </c>
      <c r="AF350" s="11">
        <f>116/$AF$3</f>
        <v>0.23200000000000001</v>
      </c>
      <c r="AH350">
        <v>203</v>
      </c>
      <c r="AI350" s="5">
        <f>AH350/AH371</f>
        <v>0.40600000000000003</v>
      </c>
      <c r="AJ350" s="10">
        <f>203/$AJ$3</f>
        <v>0.40600000000000003</v>
      </c>
      <c r="AL350">
        <v>57</v>
      </c>
      <c r="AM350" s="5">
        <f>AL350/AL371</f>
        <v>0.33727810650887574</v>
      </c>
      <c r="AN350" s="5">
        <f>57/$AN$3</f>
        <v>0.33727810650887574</v>
      </c>
      <c r="AO350" s="12"/>
      <c r="AP350">
        <v>138</v>
      </c>
      <c r="AQ350" s="5">
        <f>AP350/AP371</f>
        <v>0.4437299035369775</v>
      </c>
      <c r="AR350" s="10">
        <f>138/$AR$3</f>
        <v>0.4437299035369775</v>
      </c>
      <c r="AS350" s="12"/>
      <c r="AT350">
        <v>108</v>
      </c>
      <c r="AU350" s="5">
        <f>AT350/AT371</f>
        <v>0.27692307692307694</v>
      </c>
      <c r="AV350" s="5">
        <f>108/$AV$3</f>
        <v>0.27692307692307694</v>
      </c>
      <c r="AW350" s="12"/>
      <c r="AX350">
        <v>16</v>
      </c>
      <c r="AY350" s="5">
        <f>AX350/AX371</f>
        <v>0.12307692307692308</v>
      </c>
      <c r="AZ350" s="11">
        <f>16/$AZ$3</f>
        <v>0.12307692307692308</v>
      </c>
      <c r="BB350">
        <v>177</v>
      </c>
      <c r="BC350" s="5">
        <f>BB350/BB371</f>
        <v>0.43596059113300495</v>
      </c>
      <c r="BD350" s="10">
        <f>177/$BD$3</f>
        <v>0.43596059113300495</v>
      </c>
      <c r="BE350" s="12"/>
      <c r="BF350">
        <v>111</v>
      </c>
      <c r="BG350" s="5">
        <f>BF350/BF371</f>
        <v>0.29838709677419356</v>
      </c>
      <c r="BH350" s="5">
        <f>111/$BH$3</f>
        <v>0.29838709677419356</v>
      </c>
      <c r="BI350" s="12"/>
      <c r="BJ350">
        <v>31</v>
      </c>
      <c r="BK350" s="5">
        <f>BJ350/BJ371</f>
        <v>0.13963963963963963</v>
      </c>
      <c r="BL350" s="11">
        <f>31/$BL$3</f>
        <v>0.13963963963963963</v>
      </c>
      <c r="BN350">
        <v>171</v>
      </c>
      <c r="BO350" s="5">
        <f>BN350/BN371</f>
        <v>0.45</v>
      </c>
      <c r="BP350" s="10">
        <f>171/$BP$3</f>
        <v>0.45</v>
      </c>
      <c r="BQ350" s="12"/>
      <c r="BR350">
        <v>65</v>
      </c>
      <c r="BS350" s="5">
        <f>BR350/BR371</f>
        <v>0.17567567567567569</v>
      </c>
      <c r="BT350" s="11">
        <f>65/$BT$3</f>
        <v>0.17567567567567569</v>
      </c>
      <c r="BV350">
        <v>83</v>
      </c>
      <c r="BW350" s="5">
        <f>BV350/BV371</f>
        <v>0.33200000000000002</v>
      </c>
      <c r="BX350" s="5">
        <f>83/$BX$3</f>
        <v>0.33200000000000002</v>
      </c>
      <c r="BY350" s="12"/>
      <c r="BZ350">
        <v>71</v>
      </c>
      <c r="CA350" s="5">
        <f>BZ350/BZ371</f>
        <v>0.28399999999999997</v>
      </c>
      <c r="CB350" s="5">
        <f>71/$CB$3</f>
        <v>0.28399999999999997</v>
      </c>
      <c r="CD350">
        <v>71</v>
      </c>
      <c r="CE350" s="5">
        <f>CD350/CD371</f>
        <v>0.33809523809523812</v>
      </c>
      <c r="CF350" s="5">
        <f>71/$CF$3</f>
        <v>0.33809523809523812</v>
      </c>
      <c r="CH350">
        <v>73</v>
      </c>
      <c r="CI350" s="5">
        <f>CH350/CH371</f>
        <v>0.33181818181818185</v>
      </c>
      <c r="CJ350" s="5">
        <f>73/$CJ$3</f>
        <v>0.33181818181818185</v>
      </c>
      <c r="CL350">
        <v>104</v>
      </c>
      <c r="CM350" s="5">
        <f>CL350/CL371</f>
        <v>0.32500000000000001</v>
      </c>
      <c r="CN350" s="5">
        <f>104/$CN$3</f>
        <v>0.32500000000000001</v>
      </c>
    </row>
    <row r="351" spans="1:93" x14ac:dyDescent="0.25">
      <c r="A351" s="1" t="s">
        <v>2170</v>
      </c>
      <c r="B351">
        <v>55</v>
      </c>
      <c r="C351" s="5">
        <f>B351/B371</f>
        <v>5.5E-2</v>
      </c>
      <c r="D351" s="5">
        <f>55/$D$3</f>
        <v>5.5E-2</v>
      </c>
      <c r="F351">
        <v>33</v>
      </c>
      <c r="G351" s="5">
        <f>F351/F371</f>
        <v>6.991525423728813E-2</v>
      </c>
      <c r="H351" s="5">
        <f>33/$H$3</f>
        <v>6.991525423728813E-2</v>
      </c>
      <c r="J351">
        <v>14</v>
      </c>
      <c r="K351" s="5">
        <f>J351/J371</f>
        <v>4.912280701754386E-2</v>
      </c>
      <c r="L351" s="5">
        <f>14/$L$3</f>
        <v>4.912280701754386E-2</v>
      </c>
      <c r="N351">
        <v>14</v>
      </c>
      <c r="O351" s="5">
        <f>N351/N371</f>
        <v>6.0344827586206899E-2</v>
      </c>
      <c r="P351" s="5">
        <f>14/$P$3</f>
        <v>6.0344827586206899E-2</v>
      </c>
      <c r="R351">
        <v>21</v>
      </c>
      <c r="S351" s="5">
        <f>R351/R371</f>
        <v>7.1428571428571425E-2</v>
      </c>
      <c r="T351" s="5">
        <f>21/$T$3</f>
        <v>7.1428571428571425E-2</v>
      </c>
      <c r="V351">
        <v>31</v>
      </c>
      <c r="W351" s="5">
        <f>V351/V371</f>
        <v>7.4519230769230768E-2</v>
      </c>
      <c r="X351" s="5">
        <f>31/$X$3</f>
        <v>7.4519230769230768E-2</v>
      </c>
      <c r="Z351">
        <v>29</v>
      </c>
      <c r="AA351" s="5">
        <f>Z351/Z371</f>
        <v>6.9047619047619052E-2</v>
      </c>
      <c r="AB351" s="5">
        <f>29/$AB$3</f>
        <v>6.9047619047619052E-2</v>
      </c>
      <c r="AD351">
        <v>2</v>
      </c>
      <c r="AE351" s="5">
        <f>AD351/AD371</f>
        <v>4.0000000000000001E-3</v>
      </c>
      <c r="AF351" s="11">
        <f>2/$AF$3</f>
        <v>4.0000000000000001E-3</v>
      </c>
      <c r="AH351">
        <v>53</v>
      </c>
      <c r="AI351" s="5">
        <f>AH351/AH371</f>
        <v>0.106</v>
      </c>
      <c r="AJ351" s="5">
        <f>53/$AJ$3</f>
        <v>0.106</v>
      </c>
      <c r="AL351">
        <v>18</v>
      </c>
      <c r="AM351" s="5">
        <f>AL351/AL371</f>
        <v>0.10650887573964497</v>
      </c>
      <c r="AN351" s="5">
        <f>18/$AN$3</f>
        <v>0.10650887573964497</v>
      </c>
      <c r="AO351" s="12"/>
      <c r="AP351">
        <v>37</v>
      </c>
      <c r="AQ351" s="5">
        <f>AP351/AP371</f>
        <v>0.11897106109324759</v>
      </c>
      <c r="AR351" s="5">
        <f>37/$AR$3</f>
        <v>0.11897106109324759</v>
      </c>
      <c r="AS351" s="12"/>
      <c r="AT351">
        <v>0</v>
      </c>
      <c r="AU351" s="5">
        <f>AT351/AT371</f>
        <v>0</v>
      </c>
      <c r="AV351" s="11">
        <f>0/$AV$3</f>
        <v>0</v>
      </c>
      <c r="AX351">
        <v>0</v>
      </c>
      <c r="AY351" s="5">
        <f>AX351/AX371</f>
        <v>0</v>
      </c>
      <c r="AZ351" s="11">
        <f>0/$AZ$3</f>
        <v>0</v>
      </c>
      <c r="BB351">
        <v>23</v>
      </c>
      <c r="BC351" s="5">
        <f>BB351/BB371</f>
        <v>5.6650246305418719E-2</v>
      </c>
      <c r="BD351" s="5">
        <f>23/$BD$3</f>
        <v>5.6650246305418719E-2</v>
      </c>
      <c r="BF351">
        <v>16</v>
      </c>
      <c r="BG351" s="5">
        <f>BF351/BF371</f>
        <v>4.3010752688172046E-2</v>
      </c>
      <c r="BH351" s="5">
        <f>16/$BH$3</f>
        <v>4.3010752688172046E-2</v>
      </c>
      <c r="BJ351">
        <v>16</v>
      </c>
      <c r="BK351" s="5">
        <f>BJ351/BJ371</f>
        <v>7.2072072072072071E-2</v>
      </c>
      <c r="BL351" s="5">
        <f>16/$BL$3</f>
        <v>7.2072072072072071E-2</v>
      </c>
      <c r="BN351">
        <v>31</v>
      </c>
      <c r="BO351" s="5">
        <f>BN351/BN371</f>
        <v>8.1578947368421056E-2</v>
      </c>
      <c r="BP351" s="5">
        <f>31/$BP$3</f>
        <v>8.1578947368421056E-2</v>
      </c>
      <c r="BQ351" s="12"/>
      <c r="BR351">
        <v>20</v>
      </c>
      <c r="BS351" s="5">
        <f>BR351/BR371</f>
        <v>5.4054054054054057E-2</v>
      </c>
      <c r="BT351" s="5">
        <f>20/$BT$3</f>
        <v>5.4054054054054057E-2</v>
      </c>
      <c r="BV351">
        <v>4</v>
      </c>
      <c r="BW351" s="5">
        <f>BV351/BV371</f>
        <v>1.6E-2</v>
      </c>
      <c r="BX351" s="5">
        <f>4/$BX$3</f>
        <v>1.6E-2</v>
      </c>
      <c r="BZ351">
        <v>25</v>
      </c>
      <c r="CA351" s="5">
        <f>BZ351/BZ371</f>
        <v>0.1</v>
      </c>
      <c r="CB351" s="5">
        <f>25/$CB$3</f>
        <v>0.1</v>
      </c>
      <c r="CC351" s="12"/>
      <c r="CD351">
        <v>7</v>
      </c>
      <c r="CE351" s="5">
        <f>CD351/CD371</f>
        <v>3.3333333333333333E-2</v>
      </c>
      <c r="CF351" s="5">
        <f>7/$CF$3</f>
        <v>3.3333333333333333E-2</v>
      </c>
      <c r="CH351">
        <v>11</v>
      </c>
      <c r="CI351" s="5">
        <f>CH351/CH371</f>
        <v>0.05</v>
      </c>
      <c r="CJ351" s="5">
        <f>11/$CJ$3</f>
        <v>0.05</v>
      </c>
      <c r="CL351">
        <v>12</v>
      </c>
      <c r="CM351" s="5">
        <f>CL351/CL371</f>
        <v>3.7499999999999999E-2</v>
      </c>
      <c r="CN351" s="5">
        <f>12/$CN$3</f>
        <v>3.7499999999999999E-2</v>
      </c>
    </row>
    <row r="352" spans="1:93" x14ac:dyDescent="0.25">
      <c r="A352" s="1" t="s">
        <v>2173</v>
      </c>
      <c r="B352">
        <v>26</v>
      </c>
      <c r="C352" s="5">
        <f>B352/B371</f>
        <v>2.5999999999999999E-2</v>
      </c>
      <c r="D352" s="5">
        <f>26/$D$3</f>
        <v>2.5999999999999999E-2</v>
      </c>
      <c r="F352">
        <v>8</v>
      </c>
      <c r="G352" s="5">
        <f>F352/F371</f>
        <v>1.6949152542372881E-2</v>
      </c>
      <c r="H352" s="5">
        <f>8/$H$3</f>
        <v>1.6949152542372881E-2</v>
      </c>
      <c r="J352">
        <v>4</v>
      </c>
      <c r="K352" s="5">
        <f>J352/J371</f>
        <v>1.4035087719298246E-2</v>
      </c>
      <c r="L352" s="5">
        <f>4/$L$3</f>
        <v>1.4035087719298246E-2</v>
      </c>
      <c r="N352">
        <v>5</v>
      </c>
      <c r="O352" s="5">
        <f>N352/N371</f>
        <v>2.1551724137931036E-2</v>
      </c>
      <c r="P352" s="5">
        <f>5/$P$3</f>
        <v>2.1551724137931036E-2</v>
      </c>
      <c r="R352">
        <v>5</v>
      </c>
      <c r="S352" s="5">
        <f>R352/R371</f>
        <v>1.7006802721088437E-2</v>
      </c>
      <c r="T352" s="5">
        <f>5/$T$3</f>
        <v>1.7006802721088437E-2</v>
      </c>
      <c r="V352">
        <v>8</v>
      </c>
      <c r="W352" s="5">
        <f>V352/V371</f>
        <v>1.9230769230769232E-2</v>
      </c>
      <c r="X352" s="5">
        <f>8/$X$3</f>
        <v>1.9230769230769232E-2</v>
      </c>
      <c r="Z352">
        <v>8</v>
      </c>
      <c r="AA352" s="5">
        <f>Z352/Z371</f>
        <v>1.9047619047619049E-2</v>
      </c>
      <c r="AB352" s="5">
        <f>8/$AB$3</f>
        <v>1.9047619047619049E-2</v>
      </c>
      <c r="AD352">
        <v>14</v>
      </c>
      <c r="AE352" s="5">
        <f>AD352/AD371</f>
        <v>2.8000000000000001E-2</v>
      </c>
      <c r="AF352" s="5">
        <f>14/$AF$3</f>
        <v>2.8000000000000001E-2</v>
      </c>
      <c r="AH352">
        <v>12</v>
      </c>
      <c r="AI352" s="5">
        <f>AH352/AH371</f>
        <v>2.4E-2</v>
      </c>
      <c r="AJ352" s="5">
        <f>12/$AJ$3</f>
        <v>2.4E-2</v>
      </c>
      <c r="AL352">
        <v>10</v>
      </c>
      <c r="AM352" s="5">
        <f>AL352/AL371</f>
        <v>5.9171597633136092E-2</v>
      </c>
      <c r="AN352" s="5">
        <f>10/$AN$3</f>
        <v>5.9171597633136092E-2</v>
      </c>
      <c r="AO352" s="12"/>
      <c r="AP352">
        <v>4</v>
      </c>
      <c r="AQ352" s="5">
        <f>AP352/AP371</f>
        <v>1.2861736334405145E-2</v>
      </c>
      <c r="AR352" s="5">
        <f>4/$AR$3</f>
        <v>1.2861736334405145E-2</v>
      </c>
      <c r="AT352">
        <v>12</v>
      </c>
      <c r="AU352" s="5">
        <f>AT352/AT371</f>
        <v>3.0769230769230771E-2</v>
      </c>
      <c r="AV352" s="5">
        <f>12/$AV$3</f>
        <v>3.0769230769230771E-2</v>
      </c>
      <c r="AX352">
        <v>0</v>
      </c>
      <c r="AY352" s="5">
        <f>AX352/AX371</f>
        <v>0</v>
      </c>
      <c r="AZ352" s="5">
        <f>0/$AZ$3</f>
        <v>0</v>
      </c>
      <c r="BB352">
        <v>19</v>
      </c>
      <c r="BC352" s="5">
        <f>BB352/BB371</f>
        <v>4.6798029556650245E-2</v>
      </c>
      <c r="BD352" s="5">
        <f>19/$BD$3</f>
        <v>4.6798029556650245E-2</v>
      </c>
      <c r="BF352">
        <v>5</v>
      </c>
      <c r="BG352" s="5">
        <f>BF352/BF371</f>
        <v>1.3440860215053764E-2</v>
      </c>
      <c r="BH352" s="5">
        <f>5/$BH$3</f>
        <v>1.3440860215053764E-2</v>
      </c>
      <c r="BJ352">
        <v>2</v>
      </c>
      <c r="BK352" s="5">
        <f>BJ352/BJ371</f>
        <v>9.0090090090090089E-3</v>
      </c>
      <c r="BL352" s="5">
        <f>2/$BL$3</f>
        <v>9.0090090090090089E-3</v>
      </c>
      <c r="BN352">
        <v>16</v>
      </c>
      <c r="BO352" s="5">
        <f>BN352/BN371</f>
        <v>4.2105263157894736E-2</v>
      </c>
      <c r="BP352" s="5">
        <f>16/$BP$3</f>
        <v>4.2105263157894736E-2</v>
      </c>
      <c r="BR352">
        <v>7</v>
      </c>
      <c r="BS352" s="5">
        <f>BR352/BR371</f>
        <v>1.891891891891892E-2</v>
      </c>
      <c r="BT352" s="5">
        <f>7/$BT$3</f>
        <v>1.891891891891892E-2</v>
      </c>
      <c r="BV352">
        <v>3</v>
      </c>
      <c r="BW352" s="5">
        <f>BV352/BV371</f>
        <v>1.2E-2</v>
      </c>
      <c r="BX352" s="5">
        <f>3/$BX$3</f>
        <v>1.2E-2</v>
      </c>
      <c r="BZ352">
        <v>8</v>
      </c>
      <c r="CA352" s="5">
        <f>BZ352/BZ371</f>
        <v>3.2000000000000001E-2</v>
      </c>
      <c r="CB352" s="5">
        <f>8/$CB$3</f>
        <v>3.2000000000000001E-2</v>
      </c>
      <c r="CD352">
        <v>6</v>
      </c>
      <c r="CE352" s="5">
        <f>CD352/CD371</f>
        <v>2.8571428571428571E-2</v>
      </c>
      <c r="CF352" s="5">
        <f>6/$CF$3</f>
        <v>2.8571428571428571E-2</v>
      </c>
      <c r="CH352">
        <v>4</v>
      </c>
      <c r="CI352" s="5">
        <f>CH352/CH371</f>
        <v>1.8181818181818181E-2</v>
      </c>
      <c r="CJ352" s="5">
        <f>4/$CJ$3</f>
        <v>1.8181818181818181E-2</v>
      </c>
      <c r="CL352">
        <v>8</v>
      </c>
      <c r="CM352" s="5">
        <f>CL352/CL371</f>
        <v>2.5000000000000001E-2</v>
      </c>
      <c r="CN352" s="5">
        <f>8/$CN$3</f>
        <v>2.5000000000000001E-2</v>
      </c>
    </row>
    <row r="353" spans="1:93" x14ac:dyDescent="0.25">
      <c r="A353" s="1" t="s">
        <v>2171</v>
      </c>
      <c r="B353">
        <v>176</v>
      </c>
      <c r="C353" s="5">
        <f>B353/B371</f>
        <v>0.17599999999999999</v>
      </c>
      <c r="D353" s="5">
        <f>176/$D$3</f>
        <v>0.17599999999999999</v>
      </c>
      <c r="F353">
        <v>53</v>
      </c>
      <c r="G353" s="5">
        <f>F353/F371</f>
        <v>0.11228813559322035</v>
      </c>
      <c r="H353" s="11">
        <f>53/$H$3</f>
        <v>0.11228813559322035</v>
      </c>
      <c r="J353">
        <v>50</v>
      </c>
      <c r="K353" s="5">
        <f>J353/J371</f>
        <v>0.17543859649122806</v>
      </c>
      <c r="L353" s="5">
        <f>50/$L$3</f>
        <v>0.17543859649122806</v>
      </c>
      <c r="N353">
        <v>26</v>
      </c>
      <c r="O353" s="5">
        <f>N353/N371</f>
        <v>0.11206896551724138</v>
      </c>
      <c r="P353" s="11">
        <f>26/$P$3</f>
        <v>0.11206896551724138</v>
      </c>
      <c r="R353">
        <v>25</v>
      </c>
      <c r="S353" s="5">
        <f>R353/R371</f>
        <v>8.5034013605442174E-2</v>
      </c>
      <c r="T353" s="11">
        <f>25/$T$3</f>
        <v>8.5034013605442174E-2</v>
      </c>
      <c r="V353">
        <v>43</v>
      </c>
      <c r="W353" s="5">
        <f>V353/V371</f>
        <v>0.10336538461538461</v>
      </c>
      <c r="X353" s="11">
        <f>43/$X$3</f>
        <v>0.10336538461538461</v>
      </c>
      <c r="Z353">
        <v>46</v>
      </c>
      <c r="AA353" s="5">
        <f>Z353/Z371</f>
        <v>0.10952380952380952</v>
      </c>
      <c r="AB353" s="11">
        <f>46/$AB$3</f>
        <v>0.10952380952380952</v>
      </c>
      <c r="AD353">
        <v>78</v>
      </c>
      <c r="AE353" s="5">
        <f>AD353/AD371</f>
        <v>0.156</v>
      </c>
      <c r="AF353" s="5">
        <f>78/$AF$3</f>
        <v>0.156</v>
      </c>
      <c r="AH353">
        <v>98</v>
      </c>
      <c r="AI353" s="5">
        <f>AH353/AH371</f>
        <v>0.19600000000000001</v>
      </c>
      <c r="AJ353" s="5">
        <f>98/$AJ$3</f>
        <v>0.19600000000000001</v>
      </c>
      <c r="AL353">
        <v>2</v>
      </c>
      <c r="AM353" s="5">
        <f>AL353/AL371</f>
        <v>1.1834319526627219E-2</v>
      </c>
      <c r="AN353" s="11">
        <f>2/$AN$3</f>
        <v>1.1834319526627219E-2</v>
      </c>
      <c r="AP353">
        <v>10</v>
      </c>
      <c r="AQ353" s="5">
        <f>AP353/AP371</f>
        <v>3.215434083601286E-2</v>
      </c>
      <c r="AR353" s="11">
        <f>10/$AR$3</f>
        <v>3.215434083601286E-2</v>
      </c>
      <c r="AT353">
        <v>44</v>
      </c>
      <c r="AU353" s="5">
        <f>AT353/AT371</f>
        <v>0.11282051282051282</v>
      </c>
      <c r="AV353" s="11">
        <f>44/$AV$3</f>
        <v>0.11282051282051282</v>
      </c>
      <c r="AW353" s="12"/>
      <c r="AX353">
        <v>120</v>
      </c>
      <c r="AY353" s="5">
        <f>AX353/AX371</f>
        <v>0.92307692307692313</v>
      </c>
      <c r="AZ353" s="10">
        <f>120/$AZ$3</f>
        <v>0.92307692307692313</v>
      </c>
      <c r="BA353" s="12"/>
      <c r="BB353">
        <v>90</v>
      </c>
      <c r="BC353" s="5">
        <f>BB353/BB371</f>
        <v>0.22167487684729065</v>
      </c>
      <c r="BD353" s="5">
        <f>90/$BD$3</f>
        <v>0.22167487684729065</v>
      </c>
      <c r="BE353" s="12"/>
      <c r="BF353">
        <v>58</v>
      </c>
      <c r="BG353" s="5">
        <f>BF353/BF371</f>
        <v>0.15591397849462366</v>
      </c>
      <c r="BH353" s="5">
        <f>58/$BH$3</f>
        <v>0.15591397849462366</v>
      </c>
      <c r="BJ353">
        <v>28</v>
      </c>
      <c r="BK353" s="5">
        <f>BJ353/BJ371</f>
        <v>0.12612612612612611</v>
      </c>
      <c r="BL353" s="5">
        <f>28/$BL$3</f>
        <v>0.12612612612612611</v>
      </c>
      <c r="BN353">
        <v>77</v>
      </c>
      <c r="BO353" s="5">
        <f>BN353/BN371</f>
        <v>0.20263157894736841</v>
      </c>
      <c r="BP353" s="5">
        <f>77/$BP$3</f>
        <v>0.20263157894736841</v>
      </c>
      <c r="BQ353" s="12"/>
      <c r="BR353">
        <v>77</v>
      </c>
      <c r="BS353" s="5">
        <f>BR353/BR371</f>
        <v>0.20810810810810812</v>
      </c>
      <c r="BT353" s="5">
        <f>77/$BT$3</f>
        <v>0.20810810810810812</v>
      </c>
      <c r="BU353" s="12"/>
      <c r="BV353">
        <v>22</v>
      </c>
      <c r="BW353" s="5">
        <f>BV353/BV371</f>
        <v>8.7999999999999995E-2</v>
      </c>
      <c r="BX353" s="11">
        <f>22/$BX$3</f>
        <v>8.7999999999999995E-2</v>
      </c>
      <c r="BZ353">
        <v>41</v>
      </c>
      <c r="CA353" s="5">
        <f>BZ353/BZ371</f>
        <v>0.16400000000000001</v>
      </c>
      <c r="CB353" s="5">
        <f>41/$CB$3</f>
        <v>0.16400000000000001</v>
      </c>
      <c r="CD353">
        <v>54</v>
      </c>
      <c r="CE353" s="5">
        <f>CD353/CD371</f>
        <v>0.25714285714285712</v>
      </c>
      <c r="CF353" s="10">
        <f>54/$CF$3</f>
        <v>0.25714285714285712</v>
      </c>
      <c r="CG353" s="12"/>
      <c r="CH353">
        <v>35</v>
      </c>
      <c r="CI353" s="5">
        <f>CH353/CH371</f>
        <v>0.15909090909090909</v>
      </c>
      <c r="CJ353" s="5">
        <f>35/$CJ$3</f>
        <v>0.15909090909090909</v>
      </c>
      <c r="CL353">
        <v>46</v>
      </c>
      <c r="CM353" s="5">
        <f>CL353/CL371</f>
        <v>0.14374999999999999</v>
      </c>
      <c r="CN353" s="5">
        <f>46/$CN$3</f>
        <v>0.14374999999999999</v>
      </c>
    </row>
    <row r="354" spans="1:93" x14ac:dyDescent="0.25">
      <c r="A354" s="1" t="s">
        <v>2172</v>
      </c>
      <c r="B354">
        <v>65</v>
      </c>
      <c r="C354" s="5">
        <f>B354/B371</f>
        <v>6.5000000000000002E-2</v>
      </c>
      <c r="D354" s="5">
        <f>65/$D$3</f>
        <v>6.5000000000000002E-2</v>
      </c>
      <c r="F354">
        <v>31</v>
      </c>
      <c r="G354" s="5">
        <f>F354/F371</f>
        <v>6.5677966101694921E-2</v>
      </c>
      <c r="H354" s="5">
        <f>31/$H$3</f>
        <v>6.5677966101694921E-2</v>
      </c>
      <c r="J354">
        <v>19</v>
      </c>
      <c r="K354" s="5">
        <f>J354/J371</f>
        <v>6.6666666666666666E-2</v>
      </c>
      <c r="L354" s="5">
        <f>19/$L$3</f>
        <v>6.6666666666666666E-2</v>
      </c>
      <c r="N354">
        <v>10</v>
      </c>
      <c r="O354" s="5">
        <f>N354/N371</f>
        <v>4.3103448275862072E-2</v>
      </c>
      <c r="P354" s="5">
        <f>10/$P$3</f>
        <v>4.3103448275862072E-2</v>
      </c>
      <c r="R354">
        <v>24</v>
      </c>
      <c r="S354" s="5">
        <f>R354/R371</f>
        <v>8.1632653061224483E-2</v>
      </c>
      <c r="T354" s="5">
        <f>24/$T$3</f>
        <v>8.1632653061224483E-2</v>
      </c>
      <c r="V354">
        <v>28</v>
      </c>
      <c r="W354" s="5">
        <f>V354/V371</f>
        <v>6.7307692307692304E-2</v>
      </c>
      <c r="X354" s="5">
        <f>28/$X$3</f>
        <v>6.7307692307692304E-2</v>
      </c>
      <c r="Z354">
        <v>27</v>
      </c>
      <c r="AA354" s="5">
        <f>Z354/Z371</f>
        <v>6.4285714285714279E-2</v>
      </c>
      <c r="AB354" s="5">
        <f>27/$AB$3</f>
        <v>6.4285714285714279E-2</v>
      </c>
      <c r="AD354">
        <v>31</v>
      </c>
      <c r="AE354" s="5">
        <f>AD354/AD371</f>
        <v>6.2E-2</v>
      </c>
      <c r="AF354" s="5">
        <f>31/$AF$3</f>
        <v>6.2E-2</v>
      </c>
      <c r="AH354">
        <v>34</v>
      </c>
      <c r="AI354" s="5">
        <f>AH354/AH371</f>
        <v>6.8000000000000005E-2</v>
      </c>
      <c r="AJ354" s="5">
        <f>34/$AJ$3</f>
        <v>6.8000000000000005E-2</v>
      </c>
      <c r="AL354">
        <v>62</v>
      </c>
      <c r="AM354" s="5">
        <f>AL354/AL371</f>
        <v>0.36686390532544377</v>
      </c>
      <c r="AN354" s="5">
        <f>62/$AN$3</f>
        <v>0.36686390532544377</v>
      </c>
      <c r="AO354" s="12"/>
      <c r="AP354">
        <v>3</v>
      </c>
      <c r="AQ354" s="5">
        <f>AP354/AP371</f>
        <v>9.6463022508038593E-3</v>
      </c>
      <c r="AR354" s="11">
        <f>3/$AR$3</f>
        <v>9.6463022508038593E-3</v>
      </c>
      <c r="AT354">
        <v>0</v>
      </c>
      <c r="AU354" s="5">
        <f>AT354/AT371</f>
        <v>0</v>
      </c>
      <c r="AV354" s="11">
        <f>0/$AV$3</f>
        <v>0</v>
      </c>
      <c r="AX354">
        <v>0</v>
      </c>
      <c r="AY354" s="5">
        <f>AX354/AX371</f>
        <v>0</v>
      </c>
      <c r="AZ354" s="11">
        <f>0/$AZ$3</f>
        <v>0</v>
      </c>
      <c r="BB354">
        <v>13</v>
      </c>
      <c r="BC354" s="5">
        <f>BB354/BB371</f>
        <v>3.2019704433497539E-2</v>
      </c>
      <c r="BD354" s="5">
        <f>13/$BD$3</f>
        <v>3.2019704433497539E-2</v>
      </c>
      <c r="BF354">
        <v>36</v>
      </c>
      <c r="BG354" s="5">
        <f>BF354/BF371</f>
        <v>9.6774193548387094E-2</v>
      </c>
      <c r="BH354" s="5">
        <f>36/$BH$3</f>
        <v>9.6774193548387094E-2</v>
      </c>
      <c r="BI354" s="12"/>
      <c r="BJ354">
        <v>16</v>
      </c>
      <c r="BK354" s="5">
        <f>BJ354/BJ371</f>
        <v>7.2072072072072071E-2</v>
      </c>
      <c r="BL354" s="5">
        <f>16/$BL$3</f>
        <v>7.2072072072072071E-2</v>
      </c>
      <c r="BN354">
        <v>30</v>
      </c>
      <c r="BO354" s="5">
        <f>BN354/BN371</f>
        <v>7.8947368421052627E-2</v>
      </c>
      <c r="BP354" s="5">
        <f>30/$BP$3</f>
        <v>7.8947368421052627E-2</v>
      </c>
      <c r="BR354">
        <v>20</v>
      </c>
      <c r="BS354" s="5">
        <f>BR354/BR371</f>
        <v>5.4054054054054057E-2</v>
      </c>
      <c r="BT354" s="5">
        <f>20/$BT$3</f>
        <v>5.4054054054054057E-2</v>
      </c>
      <c r="BV354">
        <v>15</v>
      </c>
      <c r="BW354" s="5">
        <f>BV354/BV371</f>
        <v>0.06</v>
      </c>
      <c r="BX354" s="5">
        <f>15/$BX$3</f>
        <v>0.06</v>
      </c>
      <c r="BZ354">
        <v>9</v>
      </c>
      <c r="CA354" s="5">
        <f>BZ354/BZ371</f>
        <v>3.5999999999999997E-2</v>
      </c>
      <c r="CB354" s="5">
        <f>9/$CB$3</f>
        <v>3.5999999999999997E-2</v>
      </c>
      <c r="CD354">
        <v>8</v>
      </c>
      <c r="CE354" s="5">
        <f>CD354/CD371</f>
        <v>3.8095238095238099E-2</v>
      </c>
      <c r="CF354" s="5">
        <f>8/$CF$3</f>
        <v>3.8095238095238099E-2</v>
      </c>
      <c r="CH354">
        <v>18</v>
      </c>
      <c r="CI354" s="5">
        <f>CH354/CH371</f>
        <v>8.1818181818181818E-2</v>
      </c>
      <c r="CJ354" s="5">
        <f>18/$CJ$3</f>
        <v>8.1818181818181818E-2</v>
      </c>
      <c r="CL354">
        <v>30</v>
      </c>
      <c r="CM354" s="5">
        <f>CL354/CL371</f>
        <v>9.375E-2</v>
      </c>
      <c r="CN354" s="5">
        <f>30/$CN$3</f>
        <v>9.375E-2</v>
      </c>
      <c r="CO354" s="12"/>
    </row>
    <row r="355" spans="1:93" x14ac:dyDescent="0.25">
      <c r="A355" s="1" t="s">
        <v>2169</v>
      </c>
      <c r="B355">
        <v>666</v>
      </c>
      <c r="C355" s="5">
        <f>B355/B371</f>
        <v>0.66600000000000004</v>
      </c>
      <c r="D355" s="5">
        <f>666/$D$3</f>
        <v>0.66600000000000004</v>
      </c>
      <c r="F355">
        <v>343</v>
      </c>
      <c r="G355" s="5">
        <f>F355/F371</f>
        <v>0.72669491525423724</v>
      </c>
      <c r="H355" s="10">
        <f>343/$H$3</f>
        <v>0.72669491525423724</v>
      </c>
      <c r="J355">
        <v>195</v>
      </c>
      <c r="K355" s="5">
        <f>J355/J371</f>
        <v>0.68421052631578949</v>
      </c>
      <c r="L355" s="5">
        <f>195/$L$3</f>
        <v>0.68421052631578949</v>
      </c>
      <c r="N355">
        <v>176</v>
      </c>
      <c r="O355" s="5">
        <f>N355/N371</f>
        <v>0.75862068965517238</v>
      </c>
      <c r="P355" s="10">
        <f>176/$P$3</f>
        <v>0.75862068965517238</v>
      </c>
      <c r="R355">
        <v>216</v>
      </c>
      <c r="S355" s="5">
        <f>R355/R371</f>
        <v>0.73469387755102045</v>
      </c>
      <c r="T355" s="10">
        <f>216/$T$3</f>
        <v>0.73469387755102045</v>
      </c>
      <c r="V355">
        <v>303</v>
      </c>
      <c r="W355" s="5">
        <f>V355/V371</f>
        <v>0.72836538461538458</v>
      </c>
      <c r="X355" s="10">
        <f>303/$X$3</f>
        <v>0.72836538461538458</v>
      </c>
      <c r="Z355">
        <v>307</v>
      </c>
      <c r="AA355" s="5">
        <f>Z355/Z371</f>
        <v>0.73095238095238091</v>
      </c>
      <c r="AB355" s="10">
        <f>307/$AB$3</f>
        <v>0.73095238095238091</v>
      </c>
      <c r="AD355">
        <v>364</v>
      </c>
      <c r="AE355" s="5">
        <f>AD355/AD371</f>
        <v>0.72799999999999998</v>
      </c>
      <c r="AF355" s="10">
        <f>364/$AF$3</f>
        <v>0.72799999999999998</v>
      </c>
      <c r="AH355">
        <v>302</v>
      </c>
      <c r="AI355" s="5">
        <f>AH355/AH371</f>
        <v>0.60399999999999998</v>
      </c>
      <c r="AJ355" s="11">
        <f>302/$AJ$3</f>
        <v>0.60399999999999998</v>
      </c>
      <c r="AL355">
        <v>73</v>
      </c>
      <c r="AM355" s="5">
        <f>AL355/AL371</f>
        <v>0.43195266272189348</v>
      </c>
      <c r="AN355" s="11">
        <f>73/$AN$3</f>
        <v>0.43195266272189348</v>
      </c>
      <c r="AO355" s="12"/>
      <c r="AP355">
        <v>256</v>
      </c>
      <c r="AQ355" s="5">
        <f>AP355/AP371</f>
        <v>0.82315112540192925</v>
      </c>
      <c r="AR355" s="10">
        <f>256/$AR$3</f>
        <v>0.82315112540192925</v>
      </c>
      <c r="AS355" s="12"/>
      <c r="AT355">
        <v>327</v>
      </c>
      <c r="AU355" s="5">
        <f>AT355/AT371</f>
        <v>0.83846153846153848</v>
      </c>
      <c r="AV355" s="10">
        <f>327/$AV$3</f>
        <v>0.83846153846153848</v>
      </c>
      <c r="AW355" s="12"/>
      <c r="AX355">
        <v>10</v>
      </c>
      <c r="AY355" s="5">
        <f>AX355/AX371</f>
        <v>7.6923076923076927E-2</v>
      </c>
      <c r="AZ355" s="11">
        <f>10/$AZ$3</f>
        <v>7.6923076923076927E-2</v>
      </c>
      <c r="BB355">
        <v>253</v>
      </c>
      <c r="BC355" s="5">
        <f>BB355/BB371</f>
        <v>0.62315270935960587</v>
      </c>
      <c r="BD355" s="5">
        <f>253/$BD$3</f>
        <v>0.62315270935960587</v>
      </c>
      <c r="BF355">
        <v>256</v>
      </c>
      <c r="BG355" s="5">
        <f>BF355/BF371</f>
        <v>0.68817204301075274</v>
      </c>
      <c r="BH355" s="5">
        <f>256/$BH$3</f>
        <v>0.68817204301075274</v>
      </c>
      <c r="BJ355">
        <v>157</v>
      </c>
      <c r="BK355" s="5">
        <f>BJ355/BJ371</f>
        <v>0.7072072072072072</v>
      </c>
      <c r="BL355" s="5">
        <f>157/$BL$3</f>
        <v>0.7072072072072072</v>
      </c>
      <c r="BN355">
        <v>223</v>
      </c>
      <c r="BO355" s="5">
        <f>BN355/BN371</f>
        <v>0.58684210526315794</v>
      </c>
      <c r="BP355" s="11">
        <f>223/$BP$3</f>
        <v>0.58684210526315794</v>
      </c>
      <c r="BR355">
        <v>241</v>
      </c>
      <c r="BS355" s="5">
        <f>BR355/BR371</f>
        <v>0.65135135135135136</v>
      </c>
      <c r="BT355" s="5">
        <f>241/$BT$3</f>
        <v>0.65135135135135136</v>
      </c>
      <c r="BV355">
        <v>202</v>
      </c>
      <c r="BW355" s="5">
        <f>BV355/BV371</f>
        <v>0.80800000000000005</v>
      </c>
      <c r="BX355" s="10">
        <f>202/$BX$3</f>
        <v>0.80800000000000005</v>
      </c>
      <c r="BY355" s="12"/>
      <c r="BZ355">
        <v>165</v>
      </c>
      <c r="CA355" s="5">
        <f>BZ355/BZ371</f>
        <v>0.66</v>
      </c>
      <c r="CB355" s="5">
        <f>165/$CB$3</f>
        <v>0.66</v>
      </c>
      <c r="CD355">
        <v>130</v>
      </c>
      <c r="CE355" s="5">
        <f>CD355/CD371</f>
        <v>0.61904761904761907</v>
      </c>
      <c r="CF355" s="5">
        <f>130/$CF$3</f>
        <v>0.61904761904761907</v>
      </c>
      <c r="CH355">
        <v>148</v>
      </c>
      <c r="CI355" s="5">
        <f>CH355/CH371</f>
        <v>0.67272727272727273</v>
      </c>
      <c r="CJ355" s="5">
        <f>148/$CJ$3</f>
        <v>0.67272727272727273</v>
      </c>
      <c r="CL355">
        <v>223</v>
      </c>
      <c r="CM355" s="5">
        <f>CL355/CL371</f>
        <v>0.69687500000000002</v>
      </c>
      <c r="CN355" s="5">
        <f>223/$CN$3</f>
        <v>0.69687500000000002</v>
      </c>
    </row>
    <row r="356" spans="1:93" x14ac:dyDescent="0.25">
      <c r="A356" s="1" t="s">
        <v>2193</v>
      </c>
      <c r="B356">
        <v>130</v>
      </c>
      <c r="C356" s="5">
        <f>B356/B371</f>
        <v>0.13</v>
      </c>
      <c r="D356" s="5">
        <f>130/$D$3</f>
        <v>0.13</v>
      </c>
      <c r="F356">
        <v>71</v>
      </c>
      <c r="G356" s="5">
        <f>F356/F371</f>
        <v>0.15042372881355931</v>
      </c>
      <c r="H356" s="5">
        <f>71/$H$3</f>
        <v>0.15042372881355931</v>
      </c>
      <c r="J356">
        <v>38</v>
      </c>
      <c r="K356" s="5">
        <f>J356/J371</f>
        <v>0.13333333333333333</v>
      </c>
      <c r="L356" s="5">
        <f>38/$L$3</f>
        <v>0.13333333333333333</v>
      </c>
      <c r="N356">
        <v>36</v>
      </c>
      <c r="O356" s="5">
        <f>N356/N371</f>
        <v>0.15517241379310345</v>
      </c>
      <c r="P356" s="5">
        <f>36/$P$3</f>
        <v>0.15517241379310345</v>
      </c>
      <c r="R356">
        <v>50</v>
      </c>
      <c r="S356" s="5">
        <f>R356/R371</f>
        <v>0.17006802721088435</v>
      </c>
      <c r="T356" s="5">
        <f>50/$T$3</f>
        <v>0.17006802721088435</v>
      </c>
      <c r="V356">
        <v>62</v>
      </c>
      <c r="W356" s="5">
        <f>V356/V371</f>
        <v>0.14903846153846154</v>
      </c>
      <c r="X356" s="5">
        <f>62/$X$3</f>
        <v>0.14903846153846154</v>
      </c>
      <c r="Z356">
        <v>68</v>
      </c>
      <c r="AA356" s="5">
        <f>Z356/Z371</f>
        <v>0.16190476190476191</v>
      </c>
      <c r="AB356" s="5">
        <f>68/$AB$3</f>
        <v>0.16190476190476191</v>
      </c>
      <c r="AD356">
        <v>65</v>
      </c>
      <c r="AE356" s="5">
        <f>AD356/AD371</f>
        <v>0.13</v>
      </c>
      <c r="AF356" s="5">
        <f>65/$AF$3</f>
        <v>0.13</v>
      </c>
      <c r="AH356">
        <v>65</v>
      </c>
      <c r="AI356" s="5">
        <f>AH356/AH371</f>
        <v>0.13</v>
      </c>
      <c r="AJ356" s="5">
        <f>65/$AJ$3</f>
        <v>0.13</v>
      </c>
      <c r="AL356">
        <v>27</v>
      </c>
      <c r="AM356" s="5">
        <f>AL356/AL371</f>
        <v>0.15976331360946747</v>
      </c>
      <c r="AN356" s="5">
        <f>27/$AN$3</f>
        <v>0.15976331360946747</v>
      </c>
      <c r="AP356">
        <v>44</v>
      </c>
      <c r="AQ356" s="5">
        <f>AP356/AP371</f>
        <v>0.14147909967845659</v>
      </c>
      <c r="AR356" s="5">
        <f>44/$AR$3</f>
        <v>0.14147909967845659</v>
      </c>
      <c r="AT356">
        <v>47</v>
      </c>
      <c r="AU356" s="5">
        <f>AT356/AT371</f>
        <v>0.12051282051282051</v>
      </c>
      <c r="AV356" s="5">
        <f>47/$AV$3</f>
        <v>0.12051282051282051</v>
      </c>
      <c r="AX356">
        <v>12</v>
      </c>
      <c r="AY356" s="5">
        <f>AX356/AX371</f>
        <v>9.2307692307692313E-2</v>
      </c>
      <c r="AZ356" s="5">
        <f>12/$AZ$3</f>
        <v>9.2307692307692313E-2</v>
      </c>
      <c r="BB356">
        <v>22</v>
      </c>
      <c r="BC356" s="5">
        <f>BB356/BB371</f>
        <v>5.4187192118226604E-2</v>
      </c>
      <c r="BD356" s="11">
        <f>22/$BD$3</f>
        <v>5.4187192118226604E-2</v>
      </c>
      <c r="BF356">
        <v>59</v>
      </c>
      <c r="BG356" s="5">
        <f>BF356/BF371</f>
        <v>0.15860215053763441</v>
      </c>
      <c r="BH356" s="5">
        <f>59/$BH$3</f>
        <v>0.15860215053763441</v>
      </c>
      <c r="BI356" s="12"/>
      <c r="BJ356">
        <v>49</v>
      </c>
      <c r="BK356" s="5">
        <f>BJ356/BJ371</f>
        <v>0.22072072072072071</v>
      </c>
      <c r="BL356" s="10">
        <f>49/$BL$3</f>
        <v>0.22072072072072071</v>
      </c>
      <c r="BM356" s="12"/>
      <c r="BN356">
        <v>40</v>
      </c>
      <c r="BO356" s="5">
        <f>BN356/BN371</f>
        <v>0.10526315789473684</v>
      </c>
      <c r="BP356" s="5">
        <f>40/$BP$3</f>
        <v>0.10526315789473684</v>
      </c>
      <c r="BR356">
        <v>46</v>
      </c>
      <c r="BS356" s="5">
        <f>BR356/BR371</f>
        <v>0.12432432432432433</v>
      </c>
      <c r="BT356" s="5">
        <f>46/$BT$3</f>
        <v>0.12432432432432433</v>
      </c>
      <c r="BV356">
        <v>44</v>
      </c>
      <c r="BW356" s="5">
        <f>BV356/BV371</f>
        <v>0.17599999999999999</v>
      </c>
      <c r="BX356" s="5">
        <f>44/$BX$3</f>
        <v>0.17599999999999999</v>
      </c>
      <c r="BZ356">
        <v>0</v>
      </c>
      <c r="CA356" s="5">
        <f>BZ356/BZ371</f>
        <v>0</v>
      </c>
      <c r="CB356" s="11">
        <f>0/$CB$3</f>
        <v>0</v>
      </c>
      <c r="CD356">
        <v>0</v>
      </c>
      <c r="CE356" s="5">
        <f>CD356/CD371</f>
        <v>0</v>
      </c>
      <c r="CF356" s="11">
        <f>0/$CF$3</f>
        <v>0</v>
      </c>
      <c r="CH356">
        <v>0</v>
      </c>
      <c r="CI356" s="5">
        <f>CH356/CH371</f>
        <v>0</v>
      </c>
      <c r="CJ356" s="11">
        <f>0/$CJ$3</f>
        <v>0</v>
      </c>
      <c r="CL356">
        <v>130</v>
      </c>
      <c r="CM356" s="5">
        <f>CL356/CL371</f>
        <v>0.40625</v>
      </c>
      <c r="CN356" s="5">
        <f>130/$CN$3</f>
        <v>0.40625</v>
      </c>
      <c r="CO356" s="12"/>
    </row>
    <row r="357" spans="1:93" x14ac:dyDescent="0.25">
      <c r="A357" s="1" t="s">
        <v>2203</v>
      </c>
      <c r="B357">
        <v>120</v>
      </c>
      <c r="C357" s="5">
        <f>B357/B371</f>
        <v>0.12</v>
      </c>
      <c r="D357" s="5">
        <f>120/$D$3</f>
        <v>0.12</v>
      </c>
      <c r="F357">
        <v>55</v>
      </c>
      <c r="G357" s="5">
        <f>F357/F371</f>
        <v>0.11652542372881355</v>
      </c>
      <c r="H357" s="5">
        <f>55/$H$3</f>
        <v>0.11652542372881355</v>
      </c>
      <c r="J357">
        <v>30</v>
      </c>
      <c r="K357" s="5">
        <f>J357/J371</f>
        <v>0.10526315789473684</v>
      </c>
      <c r="L357" s="5">
        <f>30/$L$3</f>
        <v>0.10526315789473684</v>
      </c>
      <c r="N357">
        <v>25</v>
      </c>
      <c r="O357" s="5">
        <f>N357/N371</f>
        <v>0.10775862068965517</v>
      </c>
      <c r="P357" s="5">
        <f>25/$P$3</f>
        <v>0.10775862068965517</v>
      </c>
      <c r="R357">
        <v>29</v>
      </c>
      <c r="S357" s="5">
        <f>R357/R371</f>
        <v>9.8639455782312924E-2</v>
      </c>
      <c r="T357" s="5">
        <f>29/$T$3</f>
        <v>9.8639455782312924E-2</v>
      </c>
      <c r="V357">
        <v>50</v>
      </c>
      <c r="W357" s="5">
        <f>V357/V371</f>
        <v>0.1201923076923077</v>
      </c>
      <c r="X357" s="5">
        <f>50/$X$3</f>
        <v>0.1201923076923077</v>
      </c>
      <c r="Z357">
        <v>49</v>
      </c>
      <c r="AA357" s="5">
        <f>Z357/Z371</f>
        <v>0.11666666666666667</v>
      </c>
      <c r="AB357" s="5">
        <f>49/$AB$3</f>
        <v>0.11666666666666667</v>
      </c>
      <c r="AD357">
        <v>58</v>
      </c>
      <c r="AE357" s="5">
        <f>AD357/AD371</f>
        <v>0.11600000000000001</v>
      </c>
      <c r="AF357" s="5">
        <f>58/$AF$3</f>
        <v>0.11600000000000001</v>
      </c>
      <c r="AH357">
        <v>62</v>
      </c>
      <c r="AI357" s="5">
        <f>AH357/AH371</f>
        <v>0.124</v>
      </c>
      <c r="AJ357" s="5">
        <f>62/$AJ$3</f>
        <v>0.124</v>
      </c>
      <c r="AL357">
        <v>14</v>
      </c>
      <c r="AM357" s="5">
        <f>AL357/AL371</f>
        <v>8.2840236686390539E-2</v>
      </c>
      <c r="AN357" s="5">
        <f>14/$AN$3</f>
        <v>8.2840236686390539E-2</v>
      </c>
      <c r="AP357">
        <v>37</v>
      </c>
      <c r="AQ357" s="5">
        <f>AP357/AP371</f>
        <v>0.11897106109324759</v>
      </c>
      <c r="AR357" s="5">
        <f>37/$AR$3</f>
        <v>0.11897106109324759</v>
      </c>
      <c r="AT357">
        <v>50</v>
      </c>
      <c r="AU357" s="5">
        <f>AT357/AT371</f>
        <v>0.12820512820512819</v>
      </c>
      <c r="AV357" s="5">
        <f>50/$AV$3</f>
        <v>0.12820512820512819</v>
      </c>
      <c r="AX357">
        <v>19</v>
      </c>
      <c r="AY357" s="5">
        <f>AX357/AX371</f>
        <v>0.14615384615384616</v>
      </c>
      <c r="AZ357" s="5">
        <f>19/$AZ$3</f>
        <v>0.14615384615384616</v>
      </c>
      <c r="BB357">
        <v>55</v>
      </c>
      <c r="BC357" s="5">
        <f>BB357/BB371</f>
        <v>0.1354679802955665</v>
      </c>
      <c r="BD357" s="5">
        <f>55/$BD$3</f>
        <v>0.1354679802955665</v>
      </c>
      <c r="BF357">
        <v>42</v>
      </c>
      <c r="BG357" s="5">
        <f>BF357/BF371</f>
        <v>0.11290322580645161</v>
      </c>
      <c r="BH357" s="5">
        <f>42/$BH$3</f>
        <v>0.11290322580645161</v>
      </c>
      <c r="BJ357">
        <v>23</v>
      </c>
      <c r="BK357" s="5">
        <f>BJ357/BJ371</f>
        <v>0.1036036036036036</v>
      </c>
      <c r="BL357" s="5">
        <f>23/$BL$3</f>
        <v>0.1036036036036036</v>
      </c>
      <c r="BN357">
        <v>50</v>
      </c>
      <c r="BO357" s="5">
        <f>BN357/BN371</f>
        <v>0.13157894736842105</v>
      </c>
      <c r="BP357" s="5">
        <f>50/$BP$3</f>
        <v>0.13157894736842105</v>
      </c>
      <c r="BR357">
        <v>42</v>
      </c>
      <c r="BS357" s="5">
        <f>BR357/BR371</f>
        <v>0.11351351351351352</v>
      </c>
      <c r="BT357" s="5">
        <f>42/$BT$3</f>
        <v>0.11351351351351352</v>
      </c>
      <c r="BV357">
        <v>28</v>
      </c>
      <c r="BW357" s="5">
        <f>BV357/BV371</f>
        <v>0.112</v>
      </c>
      <c r="BX357" s="5">
        <f>28/$BX$3</f>
        <v>0.112</v>
      </c>
      <c r="BZ357">
        <v>41</v>
      </c>
      <c r="CA357" s="5">
        <f>BZ357/BZ371</f>
        <v>0.16400000000000001</v>
      </c>
      <c r="CB357" s="5">
        <f>41/$CB$3</f>
        <v>0.16400000000000001</v>
      </c>
      <c r="CC357" s="12"/>
      <c r="CD357">
        <v>28</v>
      </c>
      <c r="CE357" s="5">
        <f>CD357/CD371</f>
        <v>0.13333333333333333</v>
      </c>
      <c r="CF357" s="5">
        <f>28/$CF$3</f>
        <v>0.13333333333333333</v>
      </c>
      <c r="CG357" s="12"/>
      <c r="CH357">
        <v>41</v>
      </c>
      <c r="CI357" s="5">
        <f>CH357/CH371</f>
        <v>0.18636363636363637</v>
      </c>
      <c r="CJ357" s="10">
        <f>41/$CJ$3</f>
        <v>0.18636363636363637</v>
      </c>
      <c r="CK357" s="12"/>
      <c r="CL357">
        <v>10</v>
      </c>
      <c r="CM357" s="5">
        <f>CL357/CL371</f>
        <v>3.125E-2</v>
      </c>
      <c r="CN357" s="11">
        <f>10/$CN$3</f>
        <v>3.125E-2</v>
      </c>
    </row>
    <row r="358" spans="1:93" x14ac:dyDescent="0.25">
      <c r="A358" s="1" t="s">
        <v>2194</v>
      </c>
      <c r="B358">
        <v>60</v>
      </c>
      <c r="C358" s="5">
        <f>B358/B371</f>
        <v>0.06</v>
      </c>
      <c r="D358" s="5">
        <f>60/$D$3</f>
        <v>0.06</v>
      </c>
      <c r="F358">
        <v>25</v>
      </c>
      <c r="G358" s="5">
        <f>F358/F371</f>
        <v>5.2966101694915252E-2</v>
      </c>
      <c r="H358" s="5">
        <f>25/$H$3</f>
        <v>5.2966101694915252E-2</v>
      </c>
      <c r="J358">
        <v>15</v>
      </c>
      <c r="K358" s="5">
        <f>J358/J371</f>
        <v>5.2631578947368418E-2</v>
      </c>
      <c r="L358" s="5">
        <f>15/$L$3</f>
        <v>5.2631578947368418E-2</v>
      </c>
      <c r="N358">
        <v>16</v>
      </c>
      <c r="O358" s="5">
        <f>N358/N371</f>
        <v>6.8965517241379309E-2</v>
      </c>
      <c r="P358" s="5">
        <f>16/$P$3</f>
        <v>6.8965517241379309E-2</v>
      </c>
      <c r="R358">
        <v>14</v>
      </c>
      <c r="S358" s="5">
        <f>R358/R371</f>
        <v>4.7619047619047616E-2</v>
      </c>
      <c r="T358" s="5">
        <f>14/$T$3</f>
        <v>4.7619047619047616E-2</v>
      </c>
      <c r="V358">
        <v>25</v>
      </c>
      <c r="W358" s="5">
        <f>V358/V371</f>
        <v>6.0096153846153848E-2</v>
      </c>
      <c r="X358" s="5">
        <f>25/$X$3</f>
        <v>6.0096153846153848E-2</v>
      </c>
      <c r="Z358">
        <v>21</v>
      </c>
      <c r="AA358" s="5">
        <f>Z358/Z371</f>
        <v>0.05</v>
      </c>
      <c r="AB358" s="5">
        <f>21/$AB$3</f>
        <v>0.05</v>
      </c>
      <c r="AD358">
        <v>29</v>
      </c>
      <c r="AE358" s="5">
        <f>AD358/AD371</f>
        <v>5.8000000000000003E-2</v>
      </c>
      <c r="AF358" s="5">
        <f>29/$AF$3</f>
        <v>5.8000000000000003E-2</v>
      </c>
      <c r="AH358">
        <v>31</v>
      </c>
      <c r="AI358" s="5">
        <f>AH358/AH371</f>
        <v>6.2E-2</v>
      </c>
      <c r="AJ358" s="5">
        <f>31/$AJ$3</f>
        <v>6.2E-2</v>
      </c>
      <c r="AL358">
        <v>12</v>
      </c>
      <c r="AM358" s="5">
        <f>AL358/AL371</f>
        <v>7.1005917159763315E-2</v>
      </c>
      <c r="AN358" s="5">
        <f>12/$AN$3</f>
        <v>7.1005917159763315E-2</v>
      </c>
      <c r="AP358">
        <v>15</v>
      </c>
      <c r="AQ358" s="5">
        <f>AP358/AP371</f>
        <v>4.8231511254019289E-2</v>
      </c>
      <c r="AR358" s="5">
        <f>15/$AR$3</f>
        <v>4.8231511254019289E-2</v>
      </c>
      <c r="AT358">
        <v>27</v>
      </c>
      <c r="AU358" s="5">
        <f>AT358/AT371</f>
        <v>6.9230769230769235E-2</v>
      </c>
      <c r="AV358" s="5">
        <f>27/$AV$3</f>
        <v>6.9230769230769235E-2</v>
      </c>
      <c r="AX358">
        <v>6</v>
      </c>
      <c r="AY358" s="5">
        <f>AX358/AX371</f>
        <v>4.6153846153846156E-2</v>
      </c>
      <c r="AZ358" s="5">
        <f>6/$AZ$3</f>
        <v>4.6153846153846156E-2</v>
      </c>
      <c r="BB358">
        <v>28</v>
      </c>
      <c r="BC358" s="5">
        <f>BB358/BB371</f>
        <v>6.8965517241379309E-2</v>
      </c>
      <c r="BD358" s="5">
        <f>28/$BD$3</f>
        <v>6.8965517241379309E-2</v>
      </c>
      <c r="BF358">
        <v>22</v>
      </c>
      <c r="BG358" s="5">
        <f>BF358/BF371</f>
        <v>5.9139784946236562E-2</v>
      </c>
      <c r="BH358" s="5">
        <f>22/$BH$3</f>
        <v>5.9139784946236562E-2</v>
      </c>
      <c r="BJ358">
        <v>10</v>
      </c>
      <c r="BK358" s="5">
        <f>BJ358/BJ371</f>
        <v>4.5045045045045043E-2</v>
      </c>
      <c r="BL358" s="5">
        <f>10/$BL$3</f>
        <v>4.5045045045045043E-2</v>
      </c>
      <c r="BN358">
        <v>24</v>
      </c>
      <c r="BO358" s="5">
        <f>BN358/BN371</f>
        <v>6.3157894736842107E-2</v>
      </c>
      <c r="BP358" s="5">
        <f>24/$BP$3</f>
        <v>6.3157894736842107E-2</v>
      </c>
      <c r="BR358">
        <v>22</v>
      </c>
      <c r="BS358" s="5">
        <f>BR358/BR371</f>
        <v>5.9459459459459463E-2</v>
      </c>
      <c r="BT358" s="5">
        <f>22/$BT$3</f>
        <v>5.9459459459459463E-2</v>
      </c>
      <c r="BV358">
        <v>14</v>
      </c>
      <c r="BW358" s="5">
        <f>BV358/BV371</f>
        <v>5.6000000000000001E-2</v>
      </c>
      <c r="BX358" s="5">
        <f>14/$BX$3</f>
        <v>5.6000000000000001E-2</v>
      </c>
      <c r="BZ358">
        <v>21</v>
      </c>
      <c r="CA358" s="5">
        <f>BZ358/BZ371</f>
        <v>8.4000000000000005E-2</v>
      </c>
      <c r="CB358" s="5">
        <f>21/$CB$3</f>
        <v>8.4000000000000005E-2</v>
      </c>
      <c r="CD358">
        <v>16</v>
      </c>
      <c r="CE358" s="5">
        <f>CD358/CD371</f>
        <v>7.6190476190476197E-2</v>
      </c>
      <c r="CF358" s="5">
        <f>16/$CF$3</f>
        <v>7.6190476190476197E-2</v>
      </c>
      <c r="CH358">
        <v>9</v>
      </c>
      <c r="CI358" s="5">
        <f>CH358/CH371</f>
        <v>4.0909090909090909E-2</v>
      </c>
      <c r="CJ358" s="5">
        <f>9/$CJ$3</f>
        <v>4.0909090909090909E-2</v>
      </c>
      <c r="CL358">
        <v>14</v>
      </c>
      <c r="CM358" s="5">
        <f>CL358/CL371</f>
        <v>4.3749999999999997E-2</v>
      </c>
      <c r="CN358" s="5">
        <f>14/$CN$3</f>
        <v>4.3749999999999997E-2</v>
      </c>
    </row>
    <row r="359" spans="1:93" x14ac:dyDescent="0.25">
      <c r="A359" s="1" t="s">
        <v>2202</v>
      </c>
      <c r="B359">
        <v>60</v>
      </c>
      <c r="C359" s="5">
        <f>B359/B371</f>
        <v>0.06</v>
      </c>
      <c r="D359" s="5">
        <f>60/$D$3</f>
        <v>0.06</v>
      </c>
      <c r="F359">
        <v>28</v>
      </c>
      <c r="G359" s="5">
        <f>F359/F371</f>
        <v>5.9322033898305086E-2</v>
      </c>
      <c r="H359" s="5">
        <f>28/$H$3</f>
        <v>5.9322033898305086E-2</v>
      </c>
      <c r="J359">
        <v>19</v>
      </c>
      <c r="K359" s="5">
        <f>J359/J371</f>
        <v>6.6666666666666666E-2</v>
      </c>
      <c r="L359" s="5">
        <f>19/$L$3</f>
        <v>6.6666666666666666E-2</v>
      </c>
      <c r="N359">
        <v>11</v>
      </c>
      <c r="O359" s="5">
        <f>N359/N371</f>
        <v>4.7413793103448273E-2</v>
      </c>
      <c r="P359" s="5">
        <f>11/$P$3</f>
        <v>4.7413793103448273E-2</v>
      </c>
      <c r="R359">
        <v>13</v>
      </c>
      <c r="S359" s="5">
        <f>R359/R371</f>
        <v>4.4217687074829932E-2</v>
      </c>
      <c r="T359" s="5">
        <f>13/$T$3</f>
        <v>4.4217687074829932E-2</v>
      </c>
      <c r="V359">
        <v>25</v>
      </c>
      <c r="W359" s="5">
        <f>V359/V371</f>
        <v>6.0096153846153848E-2</v>
      </c>
      <c r="X359" s="5">
        <f>25/$X$3</f>
        <v>6.0096153846153848E-2</v>
      </c>
      <c r="Z359">
        <v>24</v>
      </c>
      <c r="AA359" s="5">
        <f>Z359/Z371</f>
        <v>5.7142857142857141E-2</v>
      </c>
      <c r="AB359" s="5">
        <f>24/$AB$3</f>
        <v>5.7142857142857141E-2</v>
      </c>
      <c r="AD359">
        <v>26</v>
      </c>
      <c r="AE359" s="5">
        <f>AD359/AD371</f>
        <v>5.1999999999999998E-2</v>
      </c>
      <c r="AF359" s="5">
        <f>26/$AF$3</f>
        <v>5.1999999999999998E-2</v>
      </c>
      <c r="AH359">
        <v>34</v>
      </c>
      <c r="AI359" s="5">
        <f>AH359/AH371</f>
        <v>6.8000000000000005E-2</v>
      </c>
      <c r="AJ359" s="5">
        <f>34/$AJ$3</f>
        <v>6.8000000000000005E-2</v>
      </c>
      <c r="AL359">
        <v>6</v>
      </c>
      <c r="AM359" s="5">
        <f>AL359/AL371</f>
        <v>3.5502958579881658E-2</v>
      </c>
      <c r="AN359" s="5">
        <f>6/$AN$3</f>
        <v>3.5502958579881658E-2</v>
      </c>
      <c r="AP359">
        <v>22</v>
      </c>
      <c r="AQ359" s="5">
        <f>AP359/AP371</f>
        <v>7.0739549839228297E-2</v>
      </c>
      <c r="AR359" s="5">
        <f>22/$AR$3</f>
        <v>7.0739549839228297E-2</v>
      </c>
      <c r="AT359">
        <v>21</v>
      </c>
      <c r="AU359" s="5">
        <f>AT359/AT371</f>
        <v>5.3846153846153849E-2</v>
      </c>
      <c r="AV359" s="5">
        <f>21/$AV$3</f>
        <v>5.3846153846153849E-2</v>
      </c>
      <c r="AX359">
        <v>11</v>
      </c>
      <c r="AY359" s="5">
        <f>AX359/AX371</f>
        <v>8.461538461538462E-2</v>
      </c>
      <c r="AZ359" s="5">
        <f>11/$AZ$3</f>
        <v>8.461538461538462E-2</v>
      </c>
      <c r="BB359">
        <v>25</v>
      </c>
      <c r="BC359" s="5">
        <f>BB359/BB371</f>
        <v>6.1576354679802957E-2</v>
      </c>
      <c r="BD359" s="5">
        <f>25/$BD$3</f>
        <v>6.1576354679802957E-2</v>
      </c>
      <c r="BF359">
        <v>26</v>
      </c>
      <c r="BG359" s="5">
        <f>BF359/BF371</f>
        <v>6.9892473118279563E-2</v>
      </c>
      <c r="BH359" s="5">
        <f>26/$BH$3</f>
        <v>6.9892473118279563E-2</v>
      </c>
      <c r="BJ359">
        <v>9</v>
      </c>
      <c r="BK359" s="5">
        <f>BJ359/BJ371</f>
        <v>4.0540540540540543E-2</v>
      </c>
      <c r="BL359" s="5">
        <f>9/$BL$3</f>
        <v>4.0540540540540543E-2</v>
      </c>
      <c r="BN359">
        <v>21</v>
      </c>
      <c r="BO359" s="5">
        <f>BN359/BN371</f>
        <v>5.526315789473684E-2</v>
      </c>
      <c r="BP359" s="5">
        <f>21/$BP$3</f>
        <v>5.526315789473684E-2</v>
      </c>
      <c r="BR359">
        <v>27</v>
      </c>
      <c r="BS359" s="5">
        <f>BR359/BR371</f>
        <v>7.2972972972972977E-2</v>
      </c>
      <c r="BT359" s="5">
        <f>27/$BT$3</f>
        <v>7.2972972972972977E-2</v>
      </c>
      <c r="BV359">
        <v>12</v>
      </c>
      <c r="BW359" s="5">
        <f>BV359/BV371</f>
        <v>4.8000000000000001E-2</v>
      </c>
      <c r="BX359" s="5">
        <f>12/$BX$3</f>
        <v>4.8000000000000001E-2</v>
      </c>
      <c r="BZ359">
        <v>19</v>
      </c>
      <c r="CA359" s="5">
        <f>BZ359/BZ371</f>
        <v>7.5999999999999998E-2</v>
      </c>
      <c r="CB359" s="5">
        <f>19/$CB$3</f>
        <v>7.5999999999999998E-2</v>
      </c>
      <c r="CD359">
        <v>18</v>
      </c>
      <c r="CE359" s="5">
        <f>CD359/CD371</f>
        <v>8.5714285714285715E-2</v>
      </c>
      <c r="CF359" s="5">
        <f>18/$CF$3</f>
        <v>8.5714285714285715E-2</v>
      </c>
      <c r="CH359">
        <v>8</v>
      </c>
      <c r="CI359" s="5">
        <f>CH359/CH371</f>
        <v>3.6363636363636362E-2</v>
      </c>
      <c r="CJ359" s="5">
        <f>8/$CJ$3</f>
        <v>3.6363636363636362E-2</v>
      </c>
      <c r="CL359">
        <v>15</v>
      </c>
      <c r="CM359" s="5">
        <f>CL359/CL371</f>
        <v>4.6875E-2</v>
      </c>
      <c r="CN359" s="5">
        <f>15/$CN$3</f>
        <v>4.6875E-2</v>
      </c>
    </row>
    <row r="360" spans="1:93" x14ac:dyDescent="0.25">
      <c r="A360" s="1" t="s">
        <v>2204</v>
      </c>
      <c r="B360">
        <v>80</v>
      </c>
      <c r="C360" s="5">
        <f>B360/B371</f>
        <v>0.08</v>
      </c>
      <c r="D360" s="5">
        <f>80/$D$3</f>
        <v>0.08</v>
      </c>
      <c r="F360">
        <v>36</v>
      </c>
      <c r="G360" s="5">
        <f>F360/F371</f>
        <v>7.6271186440677971E-2</v>
      </c>
      <c r="H360" s="5">
        <f>36/$H$3</f>
        <v>7.6271186440677971E-2</v>
      </c>
      <c r="J360">
        <v>27</v>
      </c>
      <c r="K360" s="5">
        <f>J360/J371</f>
        <v>9.4736842105263161E-2</v>
      </c>
      <c r="L360" s="5">
        <f>27/$L$3</f>
        <v>9.4736842105263161E-2</v>
      </c>
      <c r="N360">
        <v>17</v>
      </c>
      <c r="O360" s="5">
        <f>N360/N371</f>
        <v>7.3275862068965511E-2</v>
      </c>
      <c r="P360" s="5">
        <f>17/$P$3</f>
        <v>7.3275862068965511E-2</v>
      </c>
      <c r="R360">
        <v>23</v>
      </c>
      <c r="S360" s="5">
        <f>R360/R371</f>
        <v>7.8231292517006806E-2</v>
      </c>
      <c r="T360" s="5">
        <f>23/$T$3</f>
        <v>7.8231292517006806E-2</v>
      </c>
      <c r="V360">
        <v>33</v>
      </c>
      <c r="W360" s="5">
        <f>V360/V371</f>
        <v>7.9326923076923073E-2</v>
      </c>
      <c r="X360" s="5">
        <f>33/$X$3</f>
        <v>7.9326923076923073E-2</v>
      </c>
      <c r="Z360">
        <v>33</v>
      </c>
      <c r="AA360" s="5">
        <f>Z360/Z371</f>
        <v>7.857142857142857E-2</v>
      </c>
      <c r="AB360" s="5">
        <f>33/$AB$3</f>
        <v>7.857142857142857E-2</v>
      </c>
      <c r="AD360">
        <v>41</v>
      </c>
      <c r="AE360" s="5">
        <f>AD360/AD371</f>
        <v>8.2000000000000003E-2</v>
      </c>
      <c r="AF360" s="5">
        <f>41/$AF$3</f>
        <v>8.2000000000000003E-2</v>
      </c>
      <c r="AH360">
        <v>39</v>
      </c>
      <c r="AI360" s="5">
        <f>AH360/AH371</f>
        <v>7.8E-2</v>
      </c>
      <c r="AJ360" s="5">
        <f>39/$AJ$3</f>
        <v>7.8E-2</v>
      </c>
      <c r="AL360">
        <v>15</v>
      </c>
      <c r="AM360" s="5">
        <f>AL360/AL371</f>
        <v>8.8757396449704137E-2</v>
      </c>
      <c r="AN360" s="5">
        <f>15/$AN$3</f>
        <v>8.8757396449704137E-2</v>
      </c>
      <c r="AP360">
        <v>26</v>
      </c>
      <c r="AQ360" s="5">
        <f>AP360/AP371</f>
        <v>8.3601286173633438E-2</v>
      </c>
      <c r="AR360" s="5">
        <f>26/$AR$3</f>
        <v>8.3601286173633438E-2</v>
      </c>
      <c r="AT360">
        <v>27</v>
      </c>
      <c r="AU360" s="5">
        <f>AT360/AT371</f>
        <v>6.9230769230769235E-2</v>
      </c>
      <c r="AV360" s="5">
        <f>27/$AV$3</f>
        <v>6.9230769230769235E-2</v>
      </c>
      <c r="AX360">
        <v>12</v>
      </c>
      <c r="AY360" s="5">
        <f>AX360/AX371</f>
        <v>9.2307692307692313E-2</v>
      </c>
      <c r="AZ360" s="5">
        <f>12/$AZ$3</f>
        <v>9.2307692307692313E-2</v>
      </c>
      <c r="BB360">
        <v>38</v>
      </c>
      <c r="BC360" s="5">
        <f>BB360/BB371</f>
        <v>9.3596059113300489E-2</v>
      </c>
      <c r="BD360" s="5">
        <f>38/$BD$3</f>
        <v>9.3596059113300489E-2</v>
      </c>
      <c r="BF360">
        <v>30</v>
      </c>
      <c r="BG360" s="5">
        <f>BF360/BF371</f>
        <v>8.0645161290322578E-2</v>
      </c>
      <c r="BH360" s="5">
        <f>30/$BH$3</f>
        <v>8.0645161290322578E-2</v>
      </c>
      <c r="BJ360">
        <v>12</v>
      </c>
      <c r="BK360" s="5">
        <f>BJ360/BJ371</f>
        <v>5.4054054054054057E-2</v>
      </c>
      <c r="BL360" s="5">
        <f>12/$BL$3</f>
        <v>5.4054054054054057E-2</v>
      </c>
      <c r="BN360">
        <v>27</v>
      </c>
      <c r="BO360" s="5">
        <f>BN360/BN371</f>
        <v>7.1052631578947367E-2</v>
      </c>
      <c r="BP360" s="5">
        <f>27/$BP$3</f>
        <v>7.1052631578947367E-2</v>
      </c>
      <c r="BR360">
        <v>34</v>
      </c>
      <c r="BS360" s="5">
        <f>BR360/BR371</f>
        <v>9.1891891891891897E-2</v>
      </c>
      <c r="BT360" s="5">
        <f>34/$BT$3</f>
        <v>9.1891891891891897E-2</v>
      </c>
      <c r="BV360">
        <v>19</v>
      </c>
      <c r="BW360" s="5">
        <f>BV360/BV371</f>
        <v>7.5999999999999998E-2</v>
      </c>
      <c r="BX360" s="5">
        <f>19/$BX$3</f>
        <v>7.5999999999999998E-2</v>
      </c>
      <c r="BZ360">
        <v>15</v>
      </c>
      <c r="CA360" s="5">
        <f>BZ360/BZ371</f>
        <v>0.06</v>
      </c>
      <c r="CB360" s="5">
        <f>15/$CB$3</f>
        <v>0.06</v>
      </c>
      <c r="CD360">
        <v>20</v>
      </c>
      <c r="CE360" s="5">
        <f>CD360/CD371</f>
        <v>9.5238095238095233E-2</v>
      </c>
      <c r="CF360" s="5">
        <f>20/$CF$3</f>
        <v>9.5238095238095233E-2</v>
      </c>
      <c r="CH360">
        <v>32</v>
      </c>
      <c r="CI360" s="5">
        <f>CH360/CH371</f>
        <v>0.14545454545454545</v>
      </c>
      <c r="CJ360" s="10">
        <f>32/$CJ$3</f>
        <v>0.14545454545454545</v>
      </c>
      <c r="CK360" s="12"/>
      <c r="CL360">
        <v>13</v>
      </c>
      <c r="CM360" s="5">
        <f>CL360/CL371</f>
        <v>4.0625000000000001E-2</v>
      </c>
      <c r="CN360" s="5">
        <f>13/$CN$3</f>
        <v>4.0625000000000001E-2</v>
      </c>
    </row>
    <row r="361" spans="1:93" x14ac:dyDescent="0.25">
      <c r="A361" s="1" t="s">
        <v>2198</v>
      </c>
      <c r="B361">
        <v>40</v>
      </c>
      <c r="C361" s="5">
        <f>B361/B371</f>
        <v>0.04</v>
      </c>
      <c r="D361" s="5">
        <f>40/$D$3</f>
        <v>0.04</v>
      </c>
      <c r="F361">
        <v>18</v>
      </c>
      <c r="G361" s="5">
        <f>F361/F371</f>
        <v>3.8135593220338986E-2</v>
      </c>
      <c r="H361" s="5">
        <f>18/$H$3</f>
        <v>3.8135593220338986E-2</v>
      </c>
      <c r="J361">
        <v>11</v>
      </c>
      <c r="K361" s="5">
        <f>J361/J371</f>
        <v>3.8596491228070177E-2</v>
      </c>
      <c r="L361" s="5">
        <f>11/$L$3</f>
        <v>3.8596491228070177E-2</v>
      </c>
      <c r="N361">
        <v>7</v>
      </c>
      <c r="O361" s="5">
        <f>N361/N371</f>
        <v>3.017241379310345E-2</v>
      </c>
      <c r="P361" s="5">
        <f>7/$P$3</f>
        <v>3.017241379310345E-2</v>
      </c>
      <c r="R361">
        <v>7</v>
      </c>
      <c r="S361" s="5">
        <f>R361/R371</f>
        <v>2.3809523809523808E-2</v>
      </c>
      <c r="T361" s="5">
        <f>7/$T$3</f>
        <v>2.3809523809523808E-2</v>
      </c>
      <c r="V361">
        <v>15</v>
      </c>
      <c r="W361" s="5">
        <f>V361/V371</f>
        <v>3.6057692307692304E-2</v>
      </c>
      <c r="X361" s="5">
        <f>15/$X$3</f>
        <v>3.6057692307692304E-2</v>
      </c>
      <c r="Z361">
        <v>15</v>
      </c>
      <c r="AA361" s="5">
        <f>Z361/Z371</f>
        <v>3.5714285714285712E-2</v>
      </c>
      <c r="AB361" s="5">
        <f>15/$AB$3</f>
        <v>3.5714285714285712E-2</v>
      </c>
      <c r="AD361">
        <v>17</v>
      </c>
      <c r="AE361" s="5">
        <f>AD361/AD371</f>
        <v>3.4000000000000002E-2</v>
      </c>
      <c r="AF361" s="5">
        <f>17/$AF$3</f>
        <v>3.4000000000000002E-2</v>
      </c>
      <c r="AH361">
        <v>23</v>
      </c>
      <c r="AI361" s="5">
        <f>AH361/AH371</f>
        <v>4.5999999999999999E-2</v>
      </c>
      <c r="AJ361" s="5">
        <f>23/$AJ$3</f>
        <v>4.5999999999999999E-2</v>
      </c>
      <c r="AL361">
        <v>3</v>
      </c>
      <c r="AM361" s="5">
        <f>AL361/AL371</f>
        <v>1.7751479289940829E-2</v>
      </c>
      <c r="AN361" s="5">
        <f>3/$AN$3</f>
        <v>1.7751479289940829E-2</v>
      </c>
      <c r="AP361">
        <v>11</v>
      </c>
      <c r="AQ361" s="5">
        <f>AP361/AP371</f>
        <v>3.5369774919614148E-2</v>
      </c>
      <c r="AR361" s="5">
        <f>11/$AR$3</f>
        <v>3.5369774919614148E-2</v>
      </c>
      <c r="AT361">
        <v>16</v>
      </c>
      <c r="AU361" s="5">
        <f>AT361/AT371</f>
        <v>4.1025641025641026E-2</v>
      </c>
      <c r="AV361" s="5">
        <f>16/$AV$3</f>
        <v>4.1025641025641026E-2</v>
      </c>
      <c r="AX361">
        <v>10</v>
      </c>
      <c r="AY361" s="5">
        <f>AX361/AX371</f>
        <v>7.6923076923076927E-2</v>
      </c>
      <c r="AZ361" s="5">
        <f>10/$AZ$3</f>
        <v>7.6923076923076927E-2</v>
      </c>
      <c r="BB361">
        <v>28</v>
      </c>
      <c r="BC361" s="5">
        <f>BB361/BB371</f>
        <v>6.8965517241379309E-2</v>
      </c>
      <c r="BD361" s="5">
        <f>28/$BD$3</f>
        <v>6.8965517241379309E-2</v>
      </c>
      <c r="BE361" s="12"/>
      <c r="BF361">
        <v>12</v>
      </c>
      <c r="BG361" s="5">
        <f>BF361/BF371</f>
        <v>3.2258064516129031E-2</v>
      </c>
      <c r="BH361" s="5">
        <f>12/$BH$3</f>
        <v>3.2258064516129031E-2</v>
      </c>
      <c r="BJ361">
        <v>0</v>
      </c>
      <c r="BK361" s="5">
        <f>BJ361/BJ371</f>
        <v>0</v>
      </c>
      <c r="BL361" s="5">
        <f>0/$BL$3</f>
        <v>0</v>
      </c>
      <c r="BN361">
        <v>14</v>
      </c>
      <c r="BO361" s="5">
        <f>BN361/BN371</f>
        <v>3.6842105263157891E-2</v>
      </c>
      <c r="BP361" s="5">
        <f>14/$BP$3</f>
        <v>3.6842105263157891E-2</v>
      </c>
      <c r="BR361">
        <v>17</v>
      </c>
      <c r="BS361" s="5">
        <f>BR361/BR371</f>
        <v>4.5945945945945948E-2</v>
      </c>
      <c r="BT361" s="5">
        <f>17/$BT$3</f>
        <v>4.5945945945945948E-2</v>
      </c>
      <c r="BV361">
        <v>9</v>
      </c>
      <c r="BW361" s="5">
        <f>BV361/BV371</f>
        <v>3.5999999999999997E-2</v>
      </c>
      <c r="BX361" s="5">
        <f>9/$BX$3</f>
        <v>3.5999999999999997E-2</v>
      </c>
      <c r="BZ361">
        <v>7</v>
      </c>
      <c r="CA361" s="5">
        <f>BZ361/BZ371</f>
        <v>2.8000000000000001E-2</v>
      </c>
      <c r="CB361" s="5">
        <f>7/$CB$3</f>
        <v>2.8000000000000001E-2</v>
      </c>
      <c r="CD361">
        <v>10</v>
      </c>
      <c r="CE361" s="5">
        <f>CD361/CD371</f>
        <v>4.7619047619047616E-2</v>
      </c>
      <c r="CF361" s="5">
        <f>10/$CF$3</f>
        <v>4.7619047619047616E-2</v>
      </c>
      <c r="CH361">
        <v>12</v>
      </c>
      <c r="CI361" s="5">
        <f>CH361/CH371</f>
        <v>5.4545454545454543E-2</v>
      </c>
      <c r="CJ361" s="5">
        <f>12/$CJ$3</f>
        <v>5.4545454545454543E-2</v>
      </c>
      <c r="CL361">
        <v>11</v>
      </c>
      <c r="CM361" s="5">
        <f>CL361/CL371</f>
        <v>3.4375000000000003E-2</v>
      </c>
      <c r="CN361" s="5">
        <f>11/$CN$3</f>
        <v>3.4375000000000003E-2</v>
      </c>
    </row>
    <row r="362" spans="1:93" x14ac:dyDescent="0.25">
      <c r="A362" s="1" t="s">
        <v>2196</v>
      </c>
      <c r="B362">
        <v>30</v>
      </c>
      <c r="C362" s="5">
        <f>B362/B371</f>
        <v>0.03</v>
      </c>
      <c r="D362" s="5">
        <f>30/$D$3</f>
        <v>0.03</v>
      </c>
      <c r="F362">
        <v>12</v>
      </c>
      <c r="G362" s="5">
        <f>F362/F371</f>
        <v>2.5423728813559324E-2</v>
      </c>
      <c r="H362" s="5">
        <f>12/$H$3</f>
        <v>2.5423728813559324E-2</v>
      </c>
      <c r="J362">
        <v>5</v>
      </c>
      <c r="K362" s="5">
        <f>J362/J371</f>
        <v>1.7543859649122806E-2</v>
      </c>
      <c r="L362" s="5">
        <f>5/$L$3</f>
        <v>1.7543859649122806E-2</v>
      </c>
      <c r="N362">
        <v>3</v>
      </c>
      <c r="O362" s="5">
        <f>N362/N371</f>
        <v>1.2931034482758621E-2</v>
      </c>
      <c r="P362" s="5">
        <f>3/$P$3</f>
        <v>1.2931034482758621E-2</v>
      </c>
      <c r="R362">
        <v>3</v>
      </c>
      <c r="S362" s="5">
        <f>R362/R371</f>
        <v>1.020408163265306E-2</v>
      </c>
      <c r="T362" s="5">
        <f>3/$T$3</f>
        <v>1.020408163265306E-2</v>
      </c>
      <c r="V362">
        <v>9</v>
      </c>
      <c r="W362" s="5">
        <f>V362/V371</f>
        <v>2.1634615384615384E-2</v>
      </c>
      <c r="X362" s="5">
        <f>9/$X$3</f>
        <v>2.1634615384615384E-2</v>
      </c>
      <c r="Z362">
        <v>8</v>
      </c>
      <c r="AA362" s="5">
        <f>Z362/Z371</f>
        <v>1.9047619047619049E-2</v>
      </c>
      <c r="AB362" s="5">
        <f>8/$AB$3</f>
        <v>1.9047619047619049E-2</v>
      </c>
      <c r="AD362">
        <v>13</v>
      </c>
      <c r="AE362" s="5">
        <f>AD362/AD371</f>
        <v>2.5999999999999999E-2</v>
      </c>
      <c r="AF362" s="5">
        <f>13/$AF$3</f>
        <v>2.5999999999999999E-2</v>
      </c>
      <c r="AH362">
        <v>17</v>
      </c>
      <c r="AI362" s="5">
        <f>AH362/AH371</f>
        <v>3.4000000000000002E-2</v>
      </c>
      <c r="AJ362" s="5">
        <f>17/$AJ$3</f>
        <v>3.4000000000000002E-2</v>
      </c>
      <c r="AL362">
        <v>8</v>
      </c>
      <c r="AM362" s="5">
        <f>AL362/AL371</f>
        <v>4.7337278106508875E-2</v>
      </c>
      <c r="AN362" s="5">
        <f>8/$AN$3</f>
        <v>4.7337278106508875E-2</v>
      </c>
      <c r="AP362">
        <v>7</v>
      </c>
      <c r="AQ362" s="5">
        <f>AP362/AP371</f>
        <v>2.2508038585209004E-2</v>
      </c>
      <c r="AR362" s="5">
        <f>7/$AR$3</f>
        <v>2.2508038585209004E-2</v>
      </c>
      <c r="AT362">
        <v>11</v>
      </c>
      <c r="AU362" s="5">
        <f>AT362/AT371</f>
        <v>2.8205128205128206E-2</v>
      </c>
      <c r="AV362" s="5">
        <f>11/$AV$3</f>
        <v>2.8205128205128206E-2</v>
      </c>
      <c r="AX362">
        <v>4</v>
      </c>
      <c r="AY362" s="5">
        <f>AX362/AX371</f>
        <v>3.0769230769230771E-2</v>
      </c>
      <c r="AZ362" s="5">
        <f>4/$AZ$3</f>
        <v>3.0769230769230771E-2</v>
      </c>
      <c r="BB362">
        <v>16</v>
      </c>
      <c r="BC362" s="5">
        <f>BB362/BB371</f>
        <v>3.9408866995073892E-2</v>
      </c>
      <c r="BD362" s="5">
        <f>16/$BD$3</f>
        <v>3.9408866995073892E-2</v>
      </c>
      <c r="BF362">
        <v>12</v>
      </c>
      <c r="BG362" s="5">
        <f>BF362/BF371</f>
        <v>3.2258064516129031E-2</v>
      </c>
      <c r="BH362" s="5">
        <f>12/$BH$3</f>
        <v>3.2258064516129031E-2</v>
      </c>
      <c r="BJ362">
        <v>2</v>
      </c>
      <c r="BK362" s="5">
        <f>BJ362/BJ371</f>
        <v>9.0090090090090089E-3</v>
      </c>
      <c r="BL362" s="5">
        <f>2/$BL$3</f>
        <v>9.0090090090090089E-3</v>
      </c>
      <c r="BN362">
        <v>15</v>
      </c>
      <c r="BO362" s="5">
        <f>BN362/BN371</f>
        <v>3.9473684210526314E-2</v>
      </c>
      <c r="BP362" s="5">
        <f>15/$BP$3</f>
        <v>3.9473684210526314E-2</v>
      </c>
      <c r="BR362">
        <v>7</v>
      </c>
      <c r="BS362" s="5">
        <f>BR362/BR371</f>
        <v>1.891891891891892E-2</v>
      </c>
      <c r="BT362" s="5">
        <f>7/$BT$3</f>
        <v>1.891891891891892E-2</v>
      </c>
      <c r="BV362">
        <v>8</v>
      </c>
      <c r="BW362" s="5">
        <f>BV362/BV371</f>
        <v>3.2000000000000001E-2</v>
      </c>
      <c r="BX362" s="5">
        <f>8/$BX$3</f>
        <v>3.2000000000000001E-2</v>
      </c>
      <c r="BZ362">
        <v>7</v>
      </c>
      <c r="CA362" s="5">
        <f>BZ362/BZ371</f>
        <v>2.8000000000000001E-2</v>
      </c>
      <c r="CB362" s="5">
        <f>7/$CB$3</f>
        <v>2.8000000000000001E-2</v>
      </c>
      <c r="CD362">
        <v>8</v>
      </c>
      <c r="CE362" s="5">
        <f>CD362/CD371</f>
        <v>3.8095238095238099E-2</v>
      </c>
      <c r="CF362" s="5">
        <f>8/$CF$3</f>
        <v>3.8095238095238099E-2</v>
      </c>
      <c r="CH362">
        <v>15</v>
      </c>
      <c r="CI362" s="5">
        <f>CH362/CH371</f>
        <v>6.8181818181818177E-2</v>
      </c>
      <c r="CJ362" s="5">
        <f>15/$CJ$3</f>
        <v>6.8181818181818177E-2</v>
      </c>
      <c r="CK362" s="12"/>
      <c r="CL362">
        <v>0</v>
      </c>
      <c r="CM362" s="5">
        <f>CL362/CL371</f>
        <v>0</v>
      </c>
      <c r="CN362" s="5">
        <f>0/$CN$3</f>
        <v>0</v>
      </c>
    </row>
    <row r="363" spans="1:93" x14ac:dyDescent="0.25">
      <c r="A363" s="1" t="s">
        <v>2197</v>
      </c>
      <c r="B363">
        <v>50</v>
      </c>
      <c r="C363" s="5">
        <f>B363/B371</f>
        <v>0.05</v>
      </c>
      <c r="D363" s="5">
        <f>50/$D$3</f>
        <v>0.05</v>
      </c>
      <c r="F363">
        <v>20</v>
      </c>
      <c r="G363" s="5">
        <f>F363/F371</f>
        <v>4.2372881355932202E-2</v>
      </c>
      <c r="H363" s="5">
        <f>20/$H$3</f>
        <v>4.2372881355932202E-2</v>
      </c>
      <c r="J363">
        <v>10</v>
      </c>
      <c r="K363" s="5">
        <f>J363/J371</f>
        <v>3.5087719298245612E-2</v>
      </c>
      <c r="L363" s="5">
        <f>10/$L$3</f>
        <v>3.5087719298245612E-2</v>
      </c>
      <c r="N363">
        <v>10</v>
      </c>
      <c r="O363" s="5">
        <f>N363/N371</f>
        <v>4.3103448275862072E-2</v>
      </c>
      <c r="P363" s="5">
        <f>10/$P$3</f>
        <v>4.3103448275862072E-2</v>
      </c>
      <c r="R363">
        <v>12</v>
      </c>
      <c r="S363" s="5">
        <f>R363/R371</f>
        <v>4.0816326530612242E-2</v>
      </c>
      <c r="T363" s="5">
        <f>12/$T$3</f>
        <v>4.0816326530612242E-2</v>
      </c>
      <c r="V363">
        <v>18</v>
      </c>
      <c r="W363" s="5">
        <f>V363/V371</f>
        <v>4.3269230769230768E-2</v>
      </c>
      <c r="X363" s="5">
        <f>18/$X$3</f>
        <v>4.3269230769230768E-2</v>
      </c>
      <c r="Z363">
        <v>18</v>
      </c>
      <c r="AA363" s="5">
        <f>Z363/Z371</f>
        <v>4.2857142857142858E-2</v>
      </c>
      <c r="AB363" s="5">
        <f>18/$AB$3</f>
        <v>4.2857142857142858E-2</v>
      </c>
      <c r="AD363">
        <v>20</v>
      </c>
      <c r="AE363" s="5">
        <f>AD363/AD371</f>
        <v>0.04</v>
      </c>
      <c r="AF363" s="5">
        <f>20/$AF$3</f>
        <v>0.04</v>
      </c>
      <c r="AH363">
        <v>30</v>
      </c>
      <c r="AI363" s="5">
        <f>AH363/AH371</f>
        <v>0.06</v>
      </c>
      <c r="AJ363" s="5">
        <f>30/$AJ$3</f>
        <v>0.06</v>
      </c>
      <c r="AL363">
        <v>5</v>
      </c>
      <c r="AM363" s="5">
        <f>AL363/AL371</f>
        <v>2.9585798816568046E-2</v>
      </c>
      <c r="AN363" s="5">
        <f>5/$AN$3</f>
        <v>2.9585798816568046E-2</v>
      </c>
      <c r="AP363">
        <v>15</v>
      </c>
      <c r="AQ363" s="5">
        <f>AP363/AP371</f>
        <v>4.8231511254019289E-2</v>
      </c>
      <c r="AR363" s="5">
        <f>15/$AR$3</f>
        <v>4.8231511254019289E-2</v>
      </c>
      <c r="AT363">
        <v>20</v>
      </c>
      <c r="AU363" s="5">
        <f>AT363/AT371</f>
        <v>5.128205128205128E-2</v>
      </c>
      <c r="AV363" s="5">
        <f>20/$AV$3</f>
        <v>5.128205128205128E-2</v>
      </c>
      <c r="AX363">
        <v>10</v>
      </c>
      <c r="AY363" s="5">
        <f>AX363/AX371</f>
        <v>7.6923076923076927E-2</v>
      </c>
      <c r="AZ363" s="5">
        <f>10/$AZ$3</f>
        <v>7.6923076923076927E-2</v>
      </c>
      <c r="BB363">
        <v>23</v>
      </c>
      <c r="BC363" s="5">
        <f>BB363/BB371</f>
        <v>5.6650246305418719E-2</v>
      </c>
      <c r="BD363" s="5">
        <f>23/$BD$3</f>
        <v>5.6650246305418719E-2</v>
      </c>
      <c r="BF363">
        <v>15</v>
      </c>
      <c r="BG363" s="5">
        <f>BF363/BF371</f>
        <v>4.0322580645161289E-2</v>
      </c>
      <c r="BH363" s="5">
        <f>15/$BH$3</f>
        <v>4.0322580645161289E-2</v>
      </c>
      <c r="BJ363">
        <v>12</v>
      </c>
      <c r="BK363" s="5">
        <f>BJ363/BJ371</f>
        <v>5.4054054054054057E-2</v>
      </c>
      <c r="BL363" s="5">
        <f>12/$BL$3</f>
        <v>5.4054054054054057E-2</v>
      </c>
      <c r="BN363">
        <v>17</v>
      </c>
      <c r="BO363" s="5">
        <f>BN363/BN371</f>
        <v>4.4736842105263158E-2</v>
      </c>
      <c r="BP363" s="5">
        <f>17/$BP$3</f>
        <v>4.4736842105263158E-2</v>
      </c>
      <c r="BR363">
        <v>22</v>
      </c>
      <c r="BS363" s="5">
        <f>BR363/BR371</f>
        <v>5.9459459459459463E-2</v>
      </c>
      <c r="BT363" s="5">
        <f>22/$BT$3</f>
        <v>5.9459459459459463E-2</v>
      </c>
      <c r="BV363">
        <v>11</v>
      </c>
      <c r="BW363" s="5">
        <f>BV363/BV371</f>
        <v>4.3999999999999997E-2</v>
      </c>
      <c r="BX363" s="5">
        <f>11/$BX$3</f>
        <v>4.3999999999999997E-2</v>
      </c>
      <c r="BZ363">
        <v>18</v>
      </c>
      <c r="CA363" s="5">
        <f>BZ363/BZ371</f>
        <v>7.1999999999999995E-2</v>
      </c>
      <c r="CB363" s="5">
        <f>18/$CB$3</f>
        <v>7.1999999999999995E-2</v>
      </c>
      <c r="CC363" s="12"/>
      <c r="CD363">
        <v>18</v>
      </c>
      <c r="CE363" s="5">
        <f>CD363/CD371</f>
        <v>8.5714285714285715E-2</v>
      </c>
      <c r="CF363" s="5">
        <f>18/$CF$3</f>
        <v>8.5714285714285715E-2</v>
      </c>
      <c r="CG363" s="12"/>
      <c r="CH363">
        <v>9</v>
      </c>
      <c r="CI363" s="5">
        <f>CH363/CH371</f>
        <v>4.0909090909090909E-2</v>
      </c>
      <c r="CJ363" s="5">
        <f>9/$CJ$3</f>
        <v>4.0909090909090909E-2</v>
      </c>
      <c r="CL363">
        <v>5</v>
      </c>
      <c r="CM363" s="5">
        <f>CL363/CL371</f>
        <v>1.5625E-2</v>
      </c>
      <c r="CN363" s="5">
        <f>5/$CN$3</f>
        <v>1.5625E-2</v>
      </c>
    </row>
    <row r="364" spans="1:93" x14ac:dyDescent="0.25">
      <c r="A364" s="1" t="s">
        <v>2201</v>
      </c>
      <c r="B364">
        <v>50</v>
      </c>
      <c r="C364" s="5">
        <f>B364/B371</f>
        <v>0.05</v>
      </c>
      <c r="D364" s="5">
        <f>50/$D$3</f>
        <v>0.05</v>
      </c>
      <c r="F364">
        <v>24</v>
      </c>
      <c r="G364" s="5">
        <f>F364/F371</f>
        <v>5.0847457627118647E-2</v>
      </c>
      <c r="H364" s="5">
        <f>24/$H$3</f>
        <v>5.0847457627118647E-2</v>
      </c>
      <c r="J364">
        <v>12</v>
      </c>
      <c r="K364" s="5">
        <f>J364/J371</f>
        <v>4.2105263157894736E-2</v>
      </c>
      <c r="L364" s="5">
        <f>12/$L$3</f>
        <v>4.2105263157894736E-2</v>
      </c>
      <c r="N364">
        <v>13</v>
      </c>
      <c r="O364" s="5">
        <f>N364/N371</f>
        <v>5.6034482758620691E-2</v>
      </c>
      <c r="P364" s="5">
        <f>13/$P$3</f>
        <v>5.6034482758620691E-2</v>
      </c>
      <c r="R364">
        <v>17</v>
      </c>
      <c r="S364" s="5">
        <f>R364/R371</f>
        <v>5.7823129251700682E-2</v>
      </c>
      <c r="T364" s="5">
        <f>17/$T$3</f>
        <v>5.7823129251700682E-2</v>
      </c>
      <c r="V364">
        <v>22</v>
      </c>
      <c r="W364" s="5">
        <f>V364/V371</f>
        <v>5.2884615384615384E-2</v>
      </c>
      <c r="X364" s="5">
        <f>22/$X$3</f>
        <v>5.2884615384615384E-2</v>
      </c>
      <c r="Z364">
        <v>21</v>
      </c>
      <c r="AA364" s="5">
        <f>Z364/Z371</f>
        <v>0.05</v>
      </c>
      <c r="AB364" s="5">
        <f>21/$AB$3</f>
        <v>0.05</v>
      </c>
      <c r="AD364">
        <v>23</v>
      </c>
      <c r="AE364" s="5">
        <f>AD364/AD371</f>
        <v>4.5999999999999999E-2</v>
      </c>
      <c r="AF364" s="5">
        <f>23/$AF$3</f>
        <v>4.5999999999999999E-2</v>
      </c>
      <c r="AH364">
        <v>27</v>
      </c>
      <c r="AI364" s="5">
        <f>AH364/AH371</f>
        <v>5.3999999999999999E-2</v>
      </c>
      <c r="AJ364" s="5">
        <f>27/$AJ$3</f>
        <v>5.3999999999999999E-2</v>
      </c>
      <c r="AL364">
        <v>12</v>
      </c>
      <c r="AM364" s="5">
        <f>AL364/AL371</f>
        <v>7.1005917159763315E-2</v>
      </c>
      <c r="AN364" s="5">
        <f>12/$AN$3</f>
        <v>7.1005917159763315E-2</v>
      </c>
      <c r="AP364">
        <v>17</v>
      </c>
      <c r="AQ364" s="5">
        <f>AP364/AP371</f>
        <v>5.4662379421221867E-2</v>
      </c>
      <c r="AR364" s="5">
        <f>17/$AR$3</f>
        <v>5.4662379421221867E-2</v>
      </c>
      <c r="AT364">
        <v>15</v>
      </c>
      <c r="AU364" s="5">
        <f>AT364/AT371</f>
        <v>3.8461538461538464E-2</v>
      </c>
      <c r="AV364" s="5">
        <f>15/$AV$3</f>
        <v>3.8461538461538464E-2</v>
      </c>
      <c r="AX364">
        <v>6</v>
      </c>
      <c r="AY364" s="5">
        <f>AX364/AX371</f>
        <v>4.6153846153846156E-2</v>
      </c>
      <c r="AZ364" s="5">
        <f>6/$AZ$3</f>
        <v>4.6153846153846156E-2</v>
      </c>
      <c r="BB364">
        <v>22</v>
      </c>
      <c r="BC364" s="5">
        <f>BB364/BB371</f>
        <v>5.4187192118226604E-2</v>
      </c>
      <c r="BD364" s="5">
        <f>22/$BD$3</f>
        <v>5.4187192118226604E-2</v>
      </c>
      <c r="BF364">
        <v>21</v>
      </c>
      <c r="BG364" s="5">
        <f>BF364/BF371</f>
        <v>5.6451612903225805E-2</v>
      </c>
      <c r="BH364" s="5">
        <f>21/$BH$3</f>
        <v>5.6451612903225805E-2</v>
      </c>
      <c r="BJ364">
        <v>7</v>
      </c>
      <c r="BK364" s="5">
        <f>BJ364/BJ371</f>
        <v>3.1531531531531529E-2</v>
      </c>
      <c r="BL364" s="5">
        <f>7/$BL$3</f>
        <v>3.1531531531531529E-2</v>
      </c>
      <c r="BN364">
        <v>23</v>
      </c>
      <c r="BO364" s="5">
        <f>BN364/BN371</f>
        <v>6.0526315789473685E-2</v>
      </c>
      <c r="BP364" s="5">
        <f>23/$BP$3</f>
        <v>6.0526315789473685E-2</v>
      </c>
      <c r="BR364">
        <v>19</v>
      </c>
      <c r="BS364" s="5">
        <f>BR364/BR371</f>
        <v>5.1351351351351354E-2</v>
      </c>
      <c r="BT364" s="5">
        <f>19/$BT$3</f>
        <v>5.1351351351351354E-2</v>
      </c>
      <c r="BV364">
        <v>8</v>
      </c>
      <c r="BW364" s="5">
        <f>BV364/BV371</f>
        <v>3.2000000000000001E-2</v>
      </c>
      <c r="BX364" s="5">
        <f>8/$BX$3</f>
        <v>3.2000000000000001E-2</v>
      </c>
      <c r="BZ364">
        <v>15</v>
      </c>
      <c r="CA364" s="5">
        <f>BZ364/BZ371</f>
        <v>0.06</v>
      </c>
      <c r="CB364" s="5">
        <f>15/$CB$3</f>
        <v>0.06</v>
      </c>
      <c r="CD364">
        <v>12</v>
      </c>
      <c r="CE364" s="5">
        <f>CD364/CD371</f>
        <v>5.7142857142857141E-2</v>
      </c>
      <c r="CF364" s="5">
        <f>12/$CF$3</f>
        <v>5.7142857142857141E-2</v>
      </c>
      <c r="CH364">
        <v>10</v>
      </c>
      <c r="CI364" s="5">
        <f>CH364/CH371</f>
        <v>4.5454545454545456E-2</v>
      </c>
      <c r="CJ364" s="5">
        <f>10/$CJ$3</f>
        <v>4.5454545454545456E-2</v>
      </c>
      <c r="CL364">
        <v>13</v>
      </c>
      <c r="CM364" s="5">
        <f>CL364/CL371</f>
        <v>4.0625000000000001E-2</v>
      </c>
      <c r="CN364" s="5">
        <f>13/$CN$3</f>
        <v>4.0625000000000001E-2</v>
      </c>
    </row>
    <row r="365" spans="1:93" x14ac:dyDescent="0.25">
      <c r="A365" s="1" t="s">
        <v>2200</v>
      </c>
      <c r="B365">
        <v>60</v>
      </c>
      <c r="C365" s="5">
        <f>B365/B371</f>
        <v>0.06</v>
      </c>
      <c r="D365" s="5">
        <f>60/$D$3</f>
        <v>0.06</v>
      </c>
      <c r="F365">
        <v>22</v>
      </c>
      <c r="G365" s="5">
        <f>F365/F371</f>
        <v>4.6610169491525424E-2</v>
      </c>
      <c r="H365" s="5">
        <f>22/$H$3</f>
        <v>4.6610169491525424E-2</v>
      </c>
      <c r="J365">
        <v>18</v>
      </c>
      <c r="K365" s="5">
        <f>J365/J371</f>
        <v>6.3157894736842107E-2</v>
      </c>
      <c r="L365" s="5">
        <f>18/$L$3</f>
        <v>6.3157894736842107E-2</v>
      </c>
      <c r="N365">
        <v>11</v>
      </c>
      <c r="O365" s="5">
        <f>N365/N371</f>
        <v>4.7413793103448273E-2</v>
      </c>
      <c r="P365" s="5">
        <f>11/$P$3</f>
        <v>4.7413793103448273E-2</v>
      </c>
      <c r="R365">
        <v>12</v>
      </c>
      <c r="S365" s="5">
        <f>R365/R371</f>
        <v>4.0816326530612242E-2</v>
      </c>
      <c r="T365" s="5">
        <f>12/$T$3</f>
        <v>4.0816326530612242E-2</v>
      </c>
      <c r="V365">
        <v>18</v>
      </c>
      <c r="W365" s="5">
        <f>V365/V371</f>
        <v>4.3269230769230768E-2</v>
      </c>
      <c r="X365" s="5">
        <f>18/$X$3</f>
        <v>4.3269230769230768E-2</v>
      </c>
      <c r="Z365">
        <v>16</v>
      </c>
      <c r="AA365" s="5">
        <f>Z365/Z371</f>
        <v>3.8095238095238099E-2</v>
      </c>
      <c r="AB365" s="5">
        <f>16/$AB$3</f>
        <v>3.8095238095238099E-2</v>
      </c>
      <c r="AD365">
        <v>37</v>
      </c>
      <c r="AE365" s="5">
        <f>AD365/AD371</f>
        <v>7.3999999999999996E-2</v>
      </c>
      <c r="AF365" s="5">
        <f>37/$AF$3</f>
        <v>7.3999999999999996E-2</v>
      </c>
      <c r="AH365">
        <v>23</v>
      </c>
      <c r="AI365" s="5">
        <f>AH365/AH371</f>
        <v>4.5999999999999999E-2</v>
      </c>
      <c r="AJ365" s="5">
        <f>23/$AJ$3</f>
        <v>4.5999999999999999E-2</v>
      </c>
      <c r="AL365">
        <v>10</v>
      </c>
      <c r="AM365" s="5">
        <f>AL365/AL371</f>
        <v>5.9171597633136092E-2</v>
      </c>
      <c r="AN365" s="5">
        <f>10/$AN$3</f>
        <v>5.9171597633136092E-2</v>
      </c>
      <c r="AP365">
        <v>18</v>
      </c>
      <c r="AQ365" s="5">
        <f>AP365/AP371</f>
        <v>5.7877813504823149E-2</v>
      </c>
      <c r="AR365" s="5">
        <f>18/$AR$3</f>
        <v>5.7877813504823149E-2</v>
      </c>
      <c r="AT365">
        <v>26</v>
      </c>
      <c r="AU365" s="5">
        <f>AT365/AT371</f>
        <v>6.6666666666666666E-2</v>
      </c>
      <c r="AV365" s="5">
        <f>26/$AV$3</f>
        <v>6.6666666666666666E-2</v>
      </c>
      <c r="AX365">
        <v>6</v>
      </c>
      <c r="AY365" s="5">
        <f>AX365/AX371</f>
        <v>4.6153846153846156E-2</v>
      </c>
      <c r="AZ365" s="5">
        <f>6/$AZ$3</f>
        <v>4.6153846153846156E-2</v>
      </c>
      <c r="BB365">
        <v>34</v>
      </c>
      <c r="BC365" s="5">
        <f>BB365/BB371</f>
        <v>8.3743842364532015E-2</v>
      </c>
      <c r="BD365" s="5">
        <f>34/$BD$3</f>
        <v>8.3743842364532015E-2</v>
      </c>
      <c r="BF365">
        <v>13</v>
      </c>
      <c r="BG365" s="5">
        <f>BF365/BF371</f>
        <v>3.4946236559139782E-2</v>
      </c>
      <c r="BH365" s="5">
        <f>13/$BH$3</f>
        <v>3.4946236559139782E-2</v>
      </c>
      <c r="BJ365">
        <v>13</v>
      </c>
      <c r="BK365" s="5">
        <f>BJ365/BJ371</f>
        <v>5.8558558558558557E-2</v>
      </c>
      <c r="BL365" s="5">
        <f>13/$BL$3</f>
        <v>5.8558558558558557E-2</v>
      </c>
      <c r="BN365">
        <v>28</v>
      </c>
      <c r="BO365" s="5">
        <f>BN365/BN371</f>
        <v>7.3684210526315783E-2</v>
      </c>
      <c r="BP365" s="5">
        <f>28/$BP$3</f>
        <v>7.3684210526315783E-2</v>
      </c>
      <c r="BR365">
        <v>23</v>
      </c>
      <c r="BS365" s="5">
        <f>BR365/BR371</f>
        <v>6.2162162162162166E-2</v>
      </c>
      <c r="BT365" s="5">
        <f>23/$BT$3</f>
        <v>6.2162162162162166E-2</v>
      </c>
      <c r="BV365">
        <v>9</v>
      </c>
      <c r="BW365" s="5">
        <f>BV365/BV371</f>
        <v>3.5999999999999997E-2</v>
      </c>
      <c r="BX365" s="5">
        <f>9/$BX$3</f>
        <v>3.5999999999999997E-2</v>
      </c>
      <c r="BZ365">
        <v>17</v>
      </c>
      <c r="CA365" s="5">
        <f>BZ365/BZ371</f>
        <v>6.8000000000000005E-2</v>
      </c>
      <c r="CB365" s="5">
        <f>17/$CB$3</f>
        <v>6.8000000000000005E-2</v>
      </c>
      <c r="CD365">
        <v>12</v>
      </c>
      <c r="CE365" s="5">
        <f>CD365/CD371</f>
        <v>5.7142857142857141E-2</v>
      </c>
      <c r="CF365" s="5">
        <f>12/$CF$3</f>
        <v>5.7142857142857141E-2</v>
      </c>
      <c r="CH365">
        <v>18</v>
      </c>
      <c r="CI365" s="5">
        <f>CH365/CH371</f>
        <v>8.1818181818181818E-2</v>
      </c>
      <c r="CJ365" s="5">
        <f>18/$CJ$3</f>
        <v>8.1818181818181818E-2</v>
      </c>
      <c r="CL365">
        <v>13</v>
      </c>
      <c r="CM365" s="5">
        <f>CL365/CL371</f>
        <v>4.0625000000000001E-2</v>
      </c>
      <c r="CN365" s="5">
        <f>13/$CN$3</f>
        <v>4.0625000000000001E-2</v>
      </c>
    </row>
    <row r="366" spans="1:93" x14ac:dyDescent="0.25">
      <c r="A366" s="1" t="s">
        <v>2199</v>
      </c>
      <c r="B366">
        <v>110</v>
      </c>
      <c r="C366" s="5">
        <f>B366/B371</f>
        <v>0.11</v>
      </c>
      <c r="D366" s="5">
        <f>110/$D$3</f>
        <v>0.11</v>
      </c>
      <c r="F366">
        <v>53</v>
      </c>
      <c r="G366" s="5">
        <f>F366/F371</f>
        <v>0.11228813559322035</v>
      </c>
      <c r="H366" s="5">
        <f>53/$H$3</f>
        <v>0.11228813559322035</v>
      </c>
      <c r="J366">
        <v>32</v>
      </c>
      <c r="K366" s="5">
        <f>J366/J371</f>
        <v>0.11228070175438597</v>
      </c>
      <c r="L366" s="5">
        <f>32/$L$3</f>
        <v>0.11228070175438597</v>
      </c>
      <c r="N366">
        <v>26</v>
      </c>
      <c r="O366" s="5">
        <f>N366/N371</f>
        <v>0.11206896551724138</v>
      </c>
      <c r="P366" s="5">
        <f>26/$P$3</f>
        <v>0.11206896551724138</v>
      </c>
      <c r="R366">
        <v>41</v>
      </c>
      <c r="S366" s="5">
        <f>R366/R371</f>
        <v>0.13945578231292516</v>
      </c>
      <c r="T366" s="5">
        <f>41/$T$3</f>
        <v>0.13945578231292516</v>
      </c>
      <c r="V366">
        <v>47</v>
      </c>
      <c r="W366" s="5">
        <f>V366/V371</f>
        <v>0.11298076923076923</v>
      </c>
      <c r="X366" s="5">
        <f>47/$X$3</f>
        <v>0.11298076923076923</v>
      </c>
      <c r="Z366">
        <v>49</v>
      </c>
      <c r="AA366" s="5">
        <f>Z366/Z371</f>
        <v>0.11666666666666667</v>
      </c>
      <c r="AB366" s="5">
        <f>49/$AB$3</f>
        <v>0.11666666666666667</v>
      </c>
      <c r="AD366">
        <v>62</v>
      </c>
      <c r="AE366" s="5">
        <f>AD366/AD371</f>
        <v>0.124</v>
      </c>
      <c r="AF366" s="5">
        <f>62/$AF$3</f>
        <v>0.124</v>
      </c>
      <c r="AH366">
        <v>48</v>
      </c>
      <c r="AI366" s="5">
        <f>AH366/AH371</f>
        <v>9.6000000000000002E-2</v>
      </c>
      <c r="AJ366" s="5">
        <f>48/$AJ$3</f>
        <v>9.6000000000000002E-2</v>
      </c>
      <c r="AL366">
        <v>19</v>
      </c>
      <c r="AM366" s="5">
        <f>AL366/AL371</f>
        <v>0.11242603550295859</v>
      </c>
      <c r="AN366" s="5">
        <f>19/$AN$3</f>
        <v>0.11242603550295859</v>
      </c>
      <c r="AP366">
        <v>31</v>
      </c>
      <c r="AQ366" s="5">
        <f>AP366/AP371</f>
        <v>9.9678456591639875E-2</v>
      </c>
      <c r="AR366" s="5">
        <f>31/$AR$3</f>
        <v>9.9678456591639875E-2</v>
      </c>
      <c r="AT366">
        <v>45</v>
      </c>
      <c r="AU366" s="5">
        <f>AT366/AT371</f>
        <v>0.11538461538461539</v>
      </c>
      <c r="AV366" s="5">
        <f>45/$AV$3</f>
        <v>0.11538461538461539</v>
      </c>
      <c r="AX366">
        <v>15</v>
      </c>
      <c r="AY366" s="5">
        <f>AX366/AX371</f>
        <v>0.11538461538461539</v>
      </c>
      <c r="AZ366" s="5">
        <f>15/$AZ$3</f>
        <v>0.11538461538461539</v>
      </c>
      <c r="BB366">
        <v>47</v>
      </c>
      <c r="BC366" s="5">
        <f>BB366/BB371</f>
        <v>0.11576354679802955</v>
      </c>
      <c r="BD366" s="5">
        <f>47/$BD$3</f>
        <v>0.11576354679802955</v>
      </c>
      <c r="BF366">
        <v>43</v>
      </c>
      <c r="BG366" s="5">
        <f>BF366/BF371</f>
        <v>0.11559139784946236</v>
      </c>
      <c r="BH366" s="5">
        <f>43/$BH$3</f>
        <v>0.11559139784946236</v>
      </c>
      <c r="BJ366">
        <v>20</v>
      </c>
      <c r="BK366" s="5">
        <f>BJ366/BJ371</f>
        <v>9.0090090090090086E-2</v>
      </c>
      <c r="BL366" s="5">
        <f>20/$BL$3</f>
        <v>9.0090090090090086E-2</v>
      </c>
      <c r="BN366">
        <v>41</v>
      </c>
      <c r="BO366" s="5">
        <f>BN366/BN371</f>
        <v>0.10789473684210527</v>
      </c>
      <c r="BP366" s="5">
        <f>41/$BP$3</f>
        <v>0.10789473684210527</v>
      </c>
      <c r="BR366">
        <v>46</v>
      </c>
      <c r="BS366" s="5">
        <f>BR366/BR371</f>
        <v>0.12432432432432433</v>
      </c>
      <c r="BT366" s="5">
        <f>46/$BT$3</f>
        <v>0.12432432432432433</v>
      </c>
      <c r="BV366">
        <v>23</v>
      </c>
      <c r="BW366" s="5">
        <f>BV366/BV371</f>
        <v>9.1999999999999998E-2</v>
      </c>
      <c r="BX366" s="5">
        <f>23/$BX$3</f>
        <v>9.1999999999999998E-2</v>
      </c>
      <c r="BZ366">
        <v>26</v>
      </c>
      <c r="CA366" s="5">
        <f>BZ366/BZ371</f>
        <v>0.104</v>
      </c>
      <c r="CB366" s="5">
        <f>26/$CB$3</f>
        <v>0.104</v>
      </c>
      <c r="CD366">
        <v>22</v>
      </c>
      <c r="CE366" s="5">
        <f>CD366/CD371</f>
        <v>0.10476190476190476</v>
      </c>
      <c r="CF366" s="5">
        <f>22/$CF$3</f>
        <v>0.10476190476190476</v>
      </c>
      <c r="CH366">
        <v>18</v>
      </c>
      <c r="CI366" s="5">
        <f>CH366/CH371</f>
        <v>8.1818181818181818E-2</v>
      </c>
      <c r="CJ366" s="5">
        <f>18/$CJ$3</f>
        <v>8.1818181818181818E-2</v>
      </c>
      <c r="CL366">
        <v>44</v>
      </c>
      <c r="CM366" s="5">
        <f>CL366/CL371</f>
        <v>0.13750000000000001</v>
      </c>
      <c r="CN366" s="5">
        <f>44/$CN$3</f>
        <v>0.13750000000000001</v>
      </c>
    </row>
    <row r="367" spans="1:93" x14ac:dyDescent="0.25">
      <c r="A367" s="1" t="s">
        <v>2195</v>
      </c>
      <c r="B367">
        <v>110</v>
      </c>
      <c r="C367" s="5">
        <f>B367/B371</f>
        <v>0.11</v>
      </c>
      <c r="D367" s="5">
        <f>110/$D$3</f>
        <v>0.11</v>
      </c>
      <c r="F367">
        <v>51</v>
      </c>
      <c r="G367" s="5">
        <f>F367/F371</f>
        <v>0.10805084745762712</v>
      </c>
      <c r="H367" s="5">
        <f>51/$H$3</f>
        <v>0.10805084745762712</v>
      </c>
      <c r="J367">
        <v>34</v>
      </c>
      <c r="K367" s="5">
        <f>J367/J371</f>
        <v>0.11929824561403508</v>
      </c>
      <c r="L367" s="5">
        <f>34/$L$3</f>
        <v>0.11929824561403508</v>
      </c>
      <c r="N367">
        <v>30</v>
      </c>
      <c r="O367" s="5">
        <f>N367/N371</f>
        <v>0.12931034482758622</v>
      </c>
      <c r="P367" s="5">
        <f>30/$P$3</f>
        <v>0.12931034482758622</v>
      </c>
      <c r="R367">
        <v>33</v>
      </c>
      <c r="S367" s="5">
        <f>R367/R371</f>
        <v>0.11224489795918367</v>
      </c>
      <c r="T367" s="5">
        <f>33/$T$3</f>
        <v>0.11224489795918367</v>
      </c>
      <c r="V367">
        <v>43</v>
      </c>
      <c r="W367" s="5">
        <f>V367/V371</f>
        <v>0.10336538461538461</v>
      </c>
      <c r="X367" s="5">
        <f>43/$X$3</f>
        <v>0.10336538461538461</v>
      </c>
      <c r="Z367">
        <v>47</v>
      </c>
      <c r="AA367" s="5">
        <f>Z367/Z371</f>
        <v>0.11190476190476191</v>
      </c>
      <c r="AB367" s="5">
        <f>47/$AB$3</f>
        <v>0.11190476190476191</v>
      </c>
      <c r="AD367">
        <v>62</v>
      </c>
      <c r="AE367" s="5">
        <f>AD367/AD371</f>
        <v>0.124</v>
      </c>
      <c r="AF367" s="5">
        <f>62/$AF$3</f>
        <v>0.124</v>
      </c>
      <c r="AH367">
        <v>48</v>
      </c>
      <c r="AI367" s="5">
        <f>AH367/AH371</f>
        <v>9.6000000000000002E-2</v>
      </c>
      <c r="AJ367" s="5">
        <f>48/$AJ$3</f>
        <v>9.6000000000000002E-2</v>
      </c>
      <c r="AL367">
        <v>19</v>
      </c>
      <c r="AM367" s="5">
        <f>AL367/AL371</f>
        <v>0.11242603550295859</v>
      </c>
      <c r="AN367" s="5">
        <f>19/$AN$3</f>
        <v>0.11242603550295859</v>
      </c>
      <c r="AP367">
        <v>40</v>
      </c>
      <c r="AQ367" s="5">
        <f>AP367/AP371</f>
        <v>0.12861736334405144</v>
      </c>
      <c r="AR367" s="5">
        <f>40/$AR$3</f>
        <v>0.12861736334405144</v>
      </c>
      <c r="AT367">
        <v>43</v>
      </c>
      <c r="AU367" s="5">
        <f>AT367/AT371</f>
        <v>0.11025641025641025</v>
      </c>
      <c r="AV367" s="5">
        <f>43/$AV$3</f>
        <v>0.11025641025641025</v>
      </c>
      <c r="AX367">
        <v>8</v>
      </c>
      <c r="AY367" s="5">
        <f>AX367/AX371</f>
        <v>6.1538461538461542E-2</v>
      </c>
      <c r="AZ367" s="5">
        <f>8/$AZ$3</f>
        <v>6.1538461538461542E-2</v>
      </c>
      <c r="BB367">
        <v>38</v>
      </c>
      <c r="BC367" s="5">
        <f>BB367/BB371</f>
        <v>9.3596059113300489E-2</v>
      </c>
      <c r="BD367" s="5">
        <f>38/$BD$3</f>
        <v>9.3596059113300489E-2</v>
      </c>
      <c r="BF367">
        <v>39</v>
      </c>
      <c r="BG367" s="5">
        <f>BF367/BF371</f>
        <v>0.10483870967741936</v>
      </c>
      <c r="BH367" s="5">
        <f>39/$BH$3</f>
        <v>0.10483870967741936</v>
      </c>
      <c r="BJ367">
        <v>33</v>
      </c>
      <c r="BK367" s="5">
        <f>BJ367/BJ371</f>
        <v>0.14864864864864866</v>
      </c>
      <c r="BL367" s="5">
        <f>33/$BL$3</f>
        <v>0.14864864864864866</v>
      </c>
      <c r="BN367">
        <v>35</v>
      </c>
      <c r="BO367" s="5">
        <f>BN367/BN371</f>
        <v>9.2105263157894732E-2</v>
      </c>
      <c r="BP367" s="5">
        <f>35/$BP$3</f>
        <v>9.2105263157894732E-2</v>
      </c>
      <c r="BR367">
        <v>35</v>
      </c>
      <c r="BS367" s="5">
        <f>BR367/BR371</f>
        <v>9.45945945945946E-2</v>
      </c>
      <c r="BT367" s="5">
        <f>35/$BT$3</f>
        <v>9.45945945945946E-2</v>
      </c>
      <c r="BV367">
        <v>40</v>
      </c>
      <c r="BW367" s="5">
        <f>BV367/BV371</f>
        <v>0.16</v>
      </c>
      <c r="BX367" s="5">
        <f>40/$BX$3</f>
        <v>0.16</v>
      </c>
      <c r="BZ367">
        <v>30</v>
      </c>
      <c r="CA367" s="5">
        <f>BZ367/BZ371</f>
        <v>0.12</v>
      </c>
      <c r="CB367" s="5">
        <f>30/$CB$3</f>
        <v>0.12</v>
      </c>
      <c r="CD367">
        <v>26</v>
      </c>
      <c r="CE367" s="5">
        <f>CD367/CD371</f>
        <v>0.12380952380952381</v>
      </c>
      <c r="CF367" s="5">
        <f>26/$CF$3</f>
        <v>0.12380952380952381</v>
      </c>
      <c r="CH367">
        <v>15</v>
      </c>
      <c r="CI367" s="5">
        <f>CH367/CH371</f>
        <v>6.8181818181818177E-2</v>
      </c>
      <c r="CJ367" s="5">
        <f>15/$CJ$3</f>
        <v>6.8181818181818177E-2</v>
      </c>
      <c r="CL367">
        <v>39</v>
      </c>
      <c r="CM367" s="5">
        <f>CL367/CL371</f>
        <v>0.121875</v>
      </c>
      <c r="CN367" s="5">
        <f>39/$CN$3</f>
        <v>0.121875</v>
      </c>
    </row>
    <row r="368" spans="1:93" x14ac:dyDescent="0.25">
      <c r="A368" s="1" t="s">
        <v>2206</v>
      </c>
      <c r="B368">
        <v>50</v>
      </c>
      <c r="C368" s="5">
        <f>B368/B371</f>
        <v>0.05</v>
      </c>
      <c r="D368" s="5">
        <f>50/$D$3</f>
        <v>0.05</v>
      </c>
      <c r="F368">
        <v>28</v>
      </c>
      <c r="G368" s="5">
        <f>F368/F371</f>
        <v>5.9322033898305086E-2</v>
      </c>
      <c r="H368" s="5">
        <f>28/$H$3</f>
        <v>5.9322033898305086E-2</v>
      </c>
      <c r="J368">
        <v>16</v>
      </c>
      <c r="K368" s="5">
        <f>J368/J371</f>
        <v>5.6140350877192984E-2</v>
      </c>
      <c r="L368" s="5">
        <f>16/$L$3</f>
        <v>5.6140350877192984E-2</v>
      </c>
      <c r="N368">
        <v>14</v>
      </c>
      <c r="O368" s="5">
        <f>N368/N371</f>
        <v>6.0344827586206899E-2</v>
      </c>
      <c r="P368" s="5">
        <f>14/$P$3</f>
        <v>6.0344827586206899E-2</v>
      </c>
      <c r="R368">
        <v>19</v>
      </c>
      <c r="S368" s="5">
        <f>R368/R371</f>
        <v>6.4625850340136057E-2</v>
      </c>
      <c r="T368" s="5">
        <f>19/$T$3</f>
        <v>6.4625850340136057E-2</v>
      </c>
      <c r="V368">
        <v>24</v>
      </c>
      <c r="W368" s="5">
        <f>V368/V371</f>
        <v>5.7692307692307696E-2</v>
      </c>
      <c r="X368" s="5">
        <f>24/$X$3</f>
        <v>5.7692307692307696E-2</v>
      </c>
      <c r="Z368">
        <v>24</v>
      </c>
      <c r="AA368" s="5">
        <f>Z368/Z371</f>
        <v>5.7142857142857141E-2</v>
      </c>
      <c r="AB368" s="5">
        <f>24/$AB$3</f>
        <v>5.7142857142857141E-2</v>
      </c>
      <c r="AD368">
        <v>23</v>
      </c>
      <c r="AE368" s="5">
        <f>AD368/AD371</f>
        <v>4.5999999999999999E-2</v>
      </c>
      <c r="AF368" s="5">
        <f>23/$AF$3</f>
        <v>4.5999999999999999E-2</v>
      </c>
      <c r="AH368">
        <v>27</v>
      </c>
      <c r="AI368" s="5">
        <f>AH368/AH371</f>
        <v>5.3999999999999999E-2</v>
      </c>
      <c r="AJ368" s="5">
        <f>27/$AJ$3</f>
        <v>5.3999999999999999E-2</v>
      </c>
      <c r="AL368">
        <v>10</v>
      </c>
      <c r="AM368" s="5">
        <f>AL368/AL371</f>
        <v>5.9171597633136092E-2</v>
      </c>
      <c r="AN368" s="5">
        <f>10/$AN$3</f>
        <v>5.9171597633136092E-2</v>
      </c>
      <c r="AP368">
        <v>14</v>
      </c>
      <c r="AQ368" s="5">
        <f>AP368/AP371</f>
        <v>4.5016077170418008E-2</v>
      </c>
      <c r="AR368" s="5">
        <f>14/$AR$3</f>
        <v>4.5016077170418008E-2</v>
      </c>
      <c r="AT368">
        <v>21</v>
      </c>
      <c r="AU368" s="5">
        <f>AT368/AT371</f>
        <v>5.3846153846153849E-2</v>
      </c>
      <c r="AV368" s="5">
        <f>21/$AV$3</f>
        <v>5.3846153846153849E-2</v>
      </c>
      <c r="AX368">
        <v>5</v>
      </c>
      <c r="AY368" s="5">
        <f>AX368/AX371</f>
        <v>3.8461538461538464E-2</v>
      </c>
      <c r="AZ368" s="5">
        <f>5/$AZ$3</f>
        <v>3.8461538461538464E-2</v>
      </c>
      <c r="BB368">
        <v>16</v>
      </c>
      <c r="BC368" s="5">
        <f>BB368/BB371</f>
        <v>3.9408866995073892E-2</v>
      </c>
      <c r="BD368" s="5">
        <f>16/$BD$3</f>
        <v>3.9408866995073892E-2</v>
      </c>
      <c r="BF368">
        <v>18</v>
      </c>
      <c r="BG368" s="5">
        <f>BF368/BF371</f>
        <v>4.8387096774193547E-2</v>
      </c>
      <c r="BH368" s="5">
        <f>18/$BH$3</f>
        <v>4.8387096774193547E-2</v>
      </c>
      <c r="BJ368">
        <v>16</v>
      </c>
      <c r="BK368" s="5">
        <f>BJ368/BJ371</f>
        <v>7.2072072072072071E-2</v>
      </c>
      <c r="BL368" s="5">
        <f>16/$BL$3</f>
        <v>7.2072072072072071E-2</v>
      </c>
      <c r="BN368">
        <v>23</v>
      </c>
      <c r="BO368" s="5">
        <f>BN368/BN371</f>
        <v>6.0526315789473685E-2</v>
      </c>
      <c r="BP368" s="5">
        <f>23/$BP$3</f>
        <v>6.0526315789473685E-2</v>
      </c>
      <c r="BR368">
        <v>18</v>
      </c>
      <c r="BS368" s="5">
        <f>BR368/BR371</f>
        <v>4.8648648648648651E-2</v>
      </c>
      <c r="BT368" s="5">
        <f>18/$BT$3</f>
        <v>4.8648648648648651E-2</v>
      </c>
      <c r="BV368">
        <v>9</v>
      </c>
      <c r="BW368" s="5">
        <f>BV368/BV371</f>
        <v>3.5999999999999997E-2</v>
      </c>
      <c r="BX368" s="5">
        <f>9/$BX$3</f>
        <v>3.5999999999999997E-2</v>
      </c>
      <c r="BZ368">
        <v>11</v>
      </c>
      <c r="CA368" s="5">
        <f>BZ368/BZ371</f>
        <v>4.3999999999999997E-2</v>
      </c>
      <c r="CB368" s="5">
        <f>11/$CB$3</f>
        <v>4.3999999999999997E-2</v>
      </c>
      <c r="CD368">
        <v>13</v>
      </c>
      <c r="CE368" s="5">
        <f>CD368/CD371</f>
        <v>6.1904761904761907E-2</v>
      </c>
      <c r="CF368" s="5">
        <f>13/$CF$3</f>
        <v>6.1904761904761907E-2</v>
      </c>
      <c r="CH368">
        <v>19</v>
      </c>
      <c r="CI368" s="5">
        <f>CH368/CH371</f>
        <v>8.6363636363636365E-2</v>
      </c>
      <c r="CJ368" s="5">
        <f>19/$CJ$3</f>
        <v>8.6363636363636365E-2</v>
      </c>
      <c r="CK368" s="12"/>
      <c r="CL368">
        <v>7</v>
      </c>
      <c r="CM368" s="5">
        <f>CL368/CL371</f>
        <v>2.1874999999999999E-2</v>
      </c>
      <c r="CN368" s="5">
        <f>7/$CN$3</f>
        <v>2.1874999999999999E-2</v>
      </c>
    </row>
    <row r="369" spans="1:92" x14ac:dyDescent="0.25">
      <c r="A369" s="1" t="s">
        <v>2205</v>
      </c>
      <c r="B369">
        <v>50</v>
      </c>
      <c r="C369" s="5">
        <f>B369/B371</f>
        <v>0.05</v>
      </c>
      <c r="D369" s="5">
        <f>50/$D$3</f>
        <v>0.05</v>
      </c>
      <c r="F369">
        <v>29</v>
      </c>
      <c r="G369" s="5">
        <f>F369/F371</f>
        <v>6.1440677966101698E-2</v>
      </c>
      <c r="H369" s="5">
        <f>29/$H$3</f>
        <v>6.1440677966101698E-2</v>
      </c>
      <c r="J369">
        <v>18</v>
      </c>
      <c r="K369" s="5">
        <f>J369/J371</f>
        <v>6.3157894736842107E-2</v>
      </c>
      <c r="L369" s="5">
        <f>18/$L$3</f>
        <v>6.3157894736842107E-2</v>
      </c>
      <c r="N369">
        <v>13</v>
      </c>
      <c r="O369" s="5">
        <f>N369/N371</f>
        <v>5.6034482758620691E-2</v>
      </c>
      <c r="P369" s="5">
        <f>13/$P$3</f>
        <v>5.6034482758620691E-2</v>
      </c>
      <c r="R369">
        <v>21</v>
      </c>
      <c r="S369" s="5">
        <f>R369/R371</f>
        <v>7.1428571428571425E-2</v>
      </c>
      <c r="T369" s="5">
        <f>21/$T$3</f>
        <v>7.1428571428571425E-2</v>
      </c>
      <c r="V369">
        <v>25</v>
      </c>
      <c r="W369" s="5">
        <f>V369/V371</f>
        <v>6.0096153846153848E-2</v>
      </c>
      <c r="X369" s="5">
        <f>25/$X$3</f>
        <v>6.0096153846153848E-2</v>
      </c>
      <c r="Z369">
        <v>27</v>
      </c>
      <c r="AA369" s="5">
        <f>Z369/Z371</f>
        <v>6.4285714285714279E-2</v>
      </c>
      <c r="AB369" s="5">
        <f>27/$AB$3</f>
        <v>6.4285714285714279E-2</v>
      </c>
      <c r="AD369">
        <v>24</v>
      </c>
      <c r="AE369" s="5">
        <f>AD369/AD371</f>
        <v>4.8000000000000001E-2</v>
      </c>
      <c r="AF369" s="5">
        <f>24/$AF$3</f>
        <v>4.8000000000000001E-2</v>
      </c>
      <c r="AH369">
        <v>26</v>
      </c>
      <c r="AI369" s="5">
        <f>AH369/AH371</f>
        <v>5.1999999999999998E-2</v>
      </c>
      <c r="AJ369" s="5">
        <f>26/$AJ$3</f>
        <v>5.1999999999999998E-2</v>
      </c>
      <c r="AL369">
        <v>9</v>
      </c>
      <c r="AM369" s="5">
        <f>AL369/AL371</f>
        <v>5.3254437869822487E-2</v>
      </c>
      <c r="AN369" s="5">
        <f>9/$AN$3</f>
        <v>5.3254437869822487E-2</v>
      </c>
      <c r="AP369">
        <v>14</v>
      </c>
      <c r="AQ369" s="5">
        <f>AP369/AP371</f>
        <v>4.5016077170418008E-2</v>
      </c>
      <c r="AR369" s="5">
        <f>14/$AR$3</f>
        <v>4.5016077170418008E-2</v>
      </c>
      <c r="AT369">
        <v>21</v>
      </c>
      <c r="AU369" s="5">
        <f>AT369/AT371</f>
        <v>5.3846153846153849E-2</v>
      </c>
      <c r="AV369" s="5">
        <f>21/$AV$3</f>
        <v>5.3846153846153849E-2</v>
      </c>
      <c r="AX369">
        <v>6</v>
      </c>
      <c r="AY369" s="5">
        <f>AX369/AX371</f>
        <v>4.6153846153846156E-2</v>
      </c>
      <c r="AZ369" s="5">
        <f>6/$AZ$3</f>
        <v>4.6153846153846156E-2</v>
      </c>
      <c r="BB369">
        <v>14</v>
      </c>
      <c r="BC369" s="5">
        <f>BB369/BB371</f>
        <v>3.4482758620689655E-2</v>
      </c>
      <c r="BD369" s="5">
        <f>14/$BD$3</f>
        <v>3.4482758620689655E-2</v>
      </c>
      <c r="BF369">
        <v>20</v>
      </c>
      <c r="BG369" s="5">
        <f>BF369/BF371</f>
        <v>5.3763440860215055E-2</v>
      </c>
      <c r="BH369" s="5">
        <f>20/$BH$3</f>
        <v>5.3763440860215055E-2</v>
      </c>
      <c r="BJ369">
        <v>16</v>
      </c>
      <c r="BK369" s="5">
        <f>BJ369/BJ371</f>
        <v>7.2072072072072071E-2</v>
      </c>
      <c r="BL369" s="5">
        <f>16/$BL$3</f>
        <v>7.2072072072072071E-2</v>
      </c>
      <c r="BN369">
        <v>22</v>
      </c>
      <c r="BO369" s="5">
        <f>BN369/BN371</f>
        <v>5.7894736842105263E-2</v>
      </c>
      <c r="BP369" s="5">
        <f>22/$BP$3</f>
        <v>5.7894736842105263E-2</v>
      </c>
      <c r="BR369">
        <v>12</v>
      </c>
      <c r="BS369" s="5">
        <f>BR369/BR371</f>
        <v>3.2432432432432434E-2</v>
      </c>
      <c r="BT369" s="5">
        <f>12/$BT$3</f>
        <v>3.2432432432432434E-2</v>
      </c>
      <c r="BV369">
        <v>16</v>
      </c>
      <c r="BW369" s="5">
        <f>BV369/BV371</f>
        <v>6.4000000000000001E-2</v>
      </c>
      <c r="BX369" s="5">
        <f>16/$BX$3</f>
        <v>6.4000000000000001E-2</v>
      </c>
      <c r="BZ369">
        <v>23</v>
      </c>
      <c r="CA369" s="5">
        <f>BZ369/BZ371</f>
        <v>9.1999999999999998E-2</v>
      </c>
      <c r="CB369" s="5">
        <f>23/$CB$3</f>
        <v>9.1999999999999998E-2</v>
      </c>
      <c r="CC369" s="12"/>
      <c r="CD369">
        <v>7</v>
      </c>
      <c r="CE369" s="5">
        <f>CD369/CD371</f>
        <v>3.3333333333333333E-2</v>
      </c>
      <c r="CF369" s="5">
        <f>7/$CF$3</f>
        <v>3.3333333333333333E-2</v>
      </c>
      <c r="CH369">
        <v>14</v>
      </c>
      <c r="CI369" s="5">
        <f>CH369/CH371</f>
        <v>6.363636363636363E-2</v>
      </c>
      <c r="CJ369" s="5">
        <f>14/$CJ$3</f>
        <v>6.363636363636363E-2</v>
      </c>
      <c r="CL369">
        <v>6</v>
      </c>
      <c r="CM369" s="5">
        <f>CL369/CL371</f>
        <v>1.8749999999999999E-2</v>
      </c>
      <c r="CN369" s="5">
        <f>6/$CN$3</f>
        <v>1.8749999999999999E-2</v>
      </c>
    </row>
    <row r="370" spans="1:92" x14ac:dyDescent="0.25">
      <c r="A370" s="1" t="s">
        <v>12</v>
      </c>
      <c r="B370">
        <v>0</v>
      </c>
      <c r="C370" s="5">
        <f>B370/B371</f>
        <v>0</v>
      </c>
      <c r="D370" s="5">
        <f>0/$D$3</f>
        <v>0</v>
      </c>
      <c r="F370">
        <v>0</v>
      </c>
      <c r="G370" s="5">
        <f>F370/F371</f>
        <v>0</v>
      </c>
      <c r="H370" s="5">
        <f>0/$H$3</f>
        <v>0</v>
      </c>
      <c r="J370">
        <v>0</v>
      </c>
      <c r="K370" s="5">
        <f>J370/J371</f>
        <v>0</v>
      </c>
      <c r="L370" s="5">
        <f>0/$L$3</f>
        <v>0</v>
      </c>
      <c r="N370">
        <v>0</v>
      </c>
      <c r="O370" s="5">
        <f>N370/N371</f>
        <v>0</v>
      </c>
      <c r="P370" s="5">
        <f>0/$P$3</f>
        <v>0</v>
      </c>
      <c r="R370">
        <v>0</v>
      </c>
      <c r="S370" s="5">
        <f>R370/R371</f>
        <v>0</v>
      </c>
      <c r="T370" s="5">
        <f>0/$T$3</f>
        <v>0</v>
      </c>
      <c r="V370">
        <v>0</v>
      </c>
      <c r="W370" s="5">
        <f>V370/V371</f>
        <v>0</v>
      </c>
      <c r="X370" s="5">
        <f>0/$X$3</f>
        <v>0</v>
      </c>
      <c r="Z370">
        <v>0</v>
      </c>
      <c r="AA370" s="5">
        <f>Z370/Z371</f>
        <v>0</v>
      </c>
      <c r="AB370" s="5">
        <f>0/$AB$3</f>
        <v>0</v>
      </c>
      <c r="AD370">
        <v>0</v>
      </c>
      <c r="AE370" s="5">
        <f>AD370/AD371</f>
        <v>0</v>
      </c>
      <c r="AF370" s="5">
        <f>0/$AF$3</f>
        <v>0</v>
      </c>
      <c r="AH370">
        <v>0</v>
      </c>
      <c r="AI370" s="5">
        <f>AH370/AH371</f>
        <v>0</v>
      </c>
      <c r="AJ370" s="5">
        <f>0/$AJ$3</f>
        <v>0</v>
      </c>
      <c r="AL370">
        <v>0</v>
      </c>
      <c r="AM370" s="5">
        <f>AL370/AL371</f>
        <v>0</v>
      </c>
      <c r="AN370" s="5">
        <f>0/$AN$3</f>
        <v>0</v>
      </c>
      <c r="AP370">
        <v>0</v>
      </c>
      <c r="AQ370" s="5">
        <f>AP370/AP371</f>
        <v>0</v>
      </c>
      <c r="AR370" s="5">
        <f>0/$AR$3</f>
        <v>0</v>
      </c>
      <c r="AT370">
        <v>0</v>
      </c>
      <c r="AU370" s="5">
        <f>AT370/AT371</f>
        <v>0</v>
      </c>
      <c r="AV370" s="5">
        <f>0/$AV$3</f>
        <v>0</v>
      </c>
      <c r="AX370">
        <v>0</v>
      </c>
      <c r="AY370" s="5">
        <f>AX370/AX371</f>
        <v>0</v>
      </c>
      <c r="AZ370" s="5">
        <f>0/$AZ$3</f>
        <v>0</v>
      </c>
      <c r="BB370">
        <v>0</v>
      </c>
      <c r="BC370" s="5">
        <f>BB370/BB371</f>
        <v>0</v>
      </c>
      <c r="BD370" s="5">
        <f>0/$BD$3</f>
        <v>0</v>
      </c>
      <c r="BF370">
        <v>0</v>
      </c>
      <c r="BG370" s="5">
        <f>BF370/BF371</f>
        <v>0</v>
      </c>
      <c r="BH370" s="5">
        <f>0/$BH$3</f>
        <v>0</v>
      </c>
      <c r="BJ370">
        <v>0</v>
      </c>
      <c r="BK370" s="5">
        <f>BJ370/BJ371</f>
        <v>0</v>
      </c>
      <c r="BL370" s="5">
        <f>0/$BL$3</f>
        <v>0</v>
      </c>
      <c r="BN370">
        <v>0</v>
      </c>
      <c r="BO370" s="5">
        <f>BN370/BN371</f>
        <v>0</v>
      </c>
      <c r="BP370" s="5">
        <f>0/$BP$3</f>
        <v>0</v>
      </c>
      <c r="BR370">
        <v>0</v>
      </c>
      <c r="BS370" s="5">
        <f>BR370/BR371</f>
        <v>0</v>
      </c>
      <c r="BT370" s="5">
        <f>0/$BT$3</f>
        <v>0</v>
      </c>
      <c r="BV370">
        <v>0</v>
      </c>
      <c r="BW370" s="5">
        <f>BV370/BV371</f>
        <v>0</v>
      </c>
      <c r="BX370" s="5">
        <f>0/$BX$3</f>
        <v>0</v>
      </c>
      <c r="BZ370">
        <v>0</v>
      </c>
      <c r="CA370" s="5">
        <f>BZ370/BZ371</f>
        <v>0</v>
      </c>
      <c r="CB370" s="5">
        <f>0/$CB$3</f>
        <v>0</v>
      </c>
      <c r="CD370">
        <v>0</v>
      </c>
      <c r="CE370" s="5">
        <f>CD370/CD371</f>
        <v>0</v>
      </c>
      <c r="CF370" s="5">
        <f>0/$CF$3</f>
        <v>0</v>
      </c>
      <c r="CH370">
        <v>0</v>
      </c>
      <c r="CI370" s="5">
        <f>CH370/CH371</f>
        <v>0</v>
      </c>
      <c r="CJ370" s="5">
        <f>0/$CJ$3</f>
        <v>0</v>
      </c>
      <c r="CL370">
        <v>0</v>
      </c>
      <c r="CM370" s="5">
        <f>CL370/CL371</f>
        <v>0</v>
      </c>
      <c r="CN370" s="5">
        <f>0/$CN$3</f>
        <v>0</v>
      </c>
    </row>
    <row r="371" spans="1:92" s="6" customFormat="1" x14ac:dyDescent="0.25">
      <c r="A371" s="7" t="s">
        <v>13</v>
      </c>
      <c r="B371" s="6">
        <v>1000</v>
      </c>
      <c r="F371" s="6">
        <v>472</v>
      </c>
      <c r="J371" s="6">
        <v>285</v>
      </c>
      <c r="N371" s="6">
        <v>232</v>
      </c>
      <c r="R371" s="6">
        <v>294</v>
      </c>
      <c r="V371" s="6">
        <v>416</v>
      </c>
      <c r="Z371" s="6">
        <v>420</v>
      </c>
      <c r="AD371" s="6">
        <v>500</v>
      </c>
      <c r="AH371" s="6">
        <v>500</v>
      </c>
      <c r="AL371" s="6">
        <v>169</v>
      </c>
      <c r="AP371" s="6">
        <v>311</v>
      </c>
      <c r="AT371" s="6">
        <v>390</v>
      </c>
      <c r="AX371" s="6">
        <v>130</v>
      </c>
      <c r="BB371" s="6">
        <v>406</v>
      </c>
      <c r="BF371" s="6">
        <v>372</v>
      </c>
      <c r="BJ371" s="6">
        <v>222</v>
      </c>
      <c r="BN371" s="6">
        <v>380</v>
      </c>
      <c r="BR371" s="6">
        <v>370</v>
      </c>
      <c r="BV371" s="6">
        <v>250</v>
      </c>
      <c r="BZ371" s="6">
        <v>250</v>
      </c>
      <c r="CD371" s="6">
        <v>210</v>
      </c>
      <c r="CH371" s="6">
        <v>220</v>
      </c>
      <c r="CL371" s="6">
        <v>320</v>
      </c>
    </row>
    <row r="372" spans="1:92" hidden="1" x14ac:dyDescent="0.25">
      <c r="A372" s="8" t="s">
        <v>14</v>
      </c>
      <c r="B372">
        <v>0</v>
      </c>
      <c r="F372">
        <v>0</v>
      </c>
      <c r="J372">
        <v>0</v>
      </c>
      <c r="N372">
        <v>0</v>
      </c>
      <c r="R372">
        <v>0</v>
      </c>
      <c r="V372">
        <v>0</v>
      </c>
      <c r="Z372">
        <v>0</v>
      </c>
      <c r="AD372">
        <v>0</v>
      </c>
      <c r="AH372">
        <v>0</v>
      </c>
      <c r="AL372">
        <v>0</v>
      </c>
      <c r="AP372">
        <v>0</v>
      </c>
      <c r="AT372">
        <v>0</v>
      </c>
      <c r="AX372">
        <v>0</v>
      </c>
      <c r="BB372">
        <v>0</v>
      </c>
      <c r="BF372">
        <v>0</v>
      </c>
      <c r="BJ372">
        <v>0</v>
      </c>
      <c r="BN372">
        <v>0</v>
      </c>
      <c r="BR372">
        <v>0</v>
      </c>
      <c r="BV372">
        <v>0</v>
      </c>
      <c r="BZ372">
        <v>0</v>
      </c>
      <c r="CD372">
        <v>0</v>
      </c>
      <c r="CH372">
        <v>0</v>
      </c>
      <c r="CL372">
        <v>0</v>
      </c>
    </row>
    <row r="373" spans="1:92" hidden="1" x14ac:dyDescent="0.25">
      <c r="A373" s="8" t="s">
        <v>15</v>
      </c>
      <c r="B373">
        <v>0</v>
      </c>
      <c r="F373">
        <v>0</v>
      </c>
      <c r="J373">
        <v>0</v>
      </c>
      <c r="N373">
        <v>0</v>
      </c>
      <c r="R373">
        <v>0</v>
      </c>
      <c r="V373">
        <v>0</v>
      </c>
      <c r="Z373">
        <v>0</v>
      </c>
      <c r="AD373">
        <v>0</v>
      </c>
      <c r="AH373">
        <v>0</v>
      </c>
      <c r="AL373">
        <v>0</v>
      </c>
      <c r="AP373">
        <v>0</v>
      </c>
      <c r="AT373">
        <v>0</v>
      </c>
      <c r="AX373">
        <v>0</v>
      </c>
      <c r="BB373">
        <v>0</v>
      </c>
      <c r="BF373">
        <v>0</v>
      </c>
      <c r="BJ373">
        <v>0</v>
      </c>
      <c r="BN373">
        <v>0</v>
      </c>
      <c r="BR373">
        <v>0</v>
      </c>
      <c r="BV373">
        <v>0</v>
      </c>
      <c r="BZ373">
        <v>0</v>
      </c>
      <c r="CD373">
        <v>0</v>
      </c>
      <c r="CH373">
        <v>0</v>
      </c>
      <c r="CL373">
        <v>0</v>
      </c>
    </row>
  </sheetData>
  <mergeCells count="69">
    <mergeCell ref="BV319:BX319"/>
    <mergeCell ref="BZ319:CB319"/>
    <mergeCell ref="CD319:CF319"/>
    <mergeCell ref="CH319:CJ319"/>
    <mergeCell ref="CL319:CN319"/>
    <mergeCell ref="BB319:BD319"/>
    <mergeCell ref="BF319:BH319"/>
    <mergeCell ref="BJ319:BL319"/>
    <mergeCell ref="BN319:BP319"/>
    <mergeCell ref="BR319:BT319"/>
    <mergeCell ref="B319:D319"/>
    <mergeCell ref="F319:H319"/>
    <mergeCell ref="J319:L319"/>
    <mergeCell ref="N319:P319"/>
    <mergeCell ref="R319:T319"/>
    <mergeCell ref="V319:X319"/>
    <mergeCell ref="Z319:AB319"/>
    <mergeCell ref="AD319:AF319"/>
    <mergeCell ref="AH319:AJ319"/>
    <mergeCell ref="AL319:AN319"/>
    <mergeCell ref="AP319:AR319"/>
    <mergeCell ref="AT319:AV319"/>
    <mergeCell ref="AX319:AZ319"/>
    <mergeCell ref="BV4:BX4"/>
    <mergeCell ref="BZ4:CB4"/>
    <mergeCell ref="CD4:CF4"/>
    <mergeCell ref="CH4:CJ4"/>
    <mergeCell ref="CL4:CN4"/>
    <mergeCell ref="BB4:BD4"/>
    <mergeCell ref="BF4:BH4"/>
    <mergeCell ref="BJ4:BL4"/>
    <mergeCell ref="BN4:BP4"/>
    <mergeCell ref="BR4:BT4"/>
    <mergeCell ref="CD3:CE3"/>
    <mergeCell ref="CH3:CI3"/>
    <mergeCell ref="CL3:CM3"/>
    <mergeCell ref="B4:D4"/>
    <mergeCell ref="F4:H4"/>
    <mergeCell ref="J4:L4"/>
    <mergeCell ref="N4:P4"/>
    <mergeCell ref="R4:T4"/>
    <mergeCell ref="V4:X4"/>
    <mergeCell ref="Z4:AB4"/>
    <mergeCell ref="AD4:AF4"/>
    <mergeCell ref="AH4:AJ4"/>
    <mergeCell ref="AL4:AN4"/>
    <mergeCell ref="AP4:AR4"/>
    <mergeCell ref="AT4:AV4"/>
    <mergeCell ref="AX4:AZ4"/>
    <mergeCell ref="BJ3:BK3"/>
    <mergeCell ref="BN3:BO3"/>
    <mergeCell ref="BR3:BS3"/>
    <mergeCell ref="BV3:BW3"/>
    <mergeCell ref="BZ3:CA3"/>
    <mergeCell ref="AP3:AQ3"/>
    <mergeCell ref="AT3:AU3"/>
    <mergeCell ref="AX3:AY3"/>
    <mergeCell ref="BB3:BC3"/>
    <mergeCell ref="BF3:BG3"/>
    <mergeCell ref="V3:W3"/>
    <mergeCell ref="Z3:AA3"/>
    <mergeCell ref="AD3:AE3"/>
    <mergeCell ref="AH3:AI3"/>
    <mergeCell ref="AL3:AM3"/>
    <mergeCell ref="B3:C3"/>
    <mergeCell ref="F3:G3"/>
    <mergeCell ref="J3:K3"/>
    <mergeCell ref="N3:O3"/>
    <mergeCell ref="R3:S3"/>
  </mergeCells>
  <conditionalFormatting sqref="B6:B8">
    <cfRule type="dataBar" priority="1">
      <dataBar>
        <cfvo type="min"/>
        <cfvo type="max"/>
        <color rgb="FF628DC4"/>
      </dataBar>
    </cfRule>
  </conditionalFormatting>
  <conditionalFormatting sqref="B14:B16">
    <cfRule type="dataBar" priority="70">
      <dataBar>
        <cfvo type="min"/>
        <cfvo type="max"/>
        <color rgb="FF628DC4"/>
      </dataBar>
    </cfRule>
  </conditionalFormatting>
  <conditionalFormatting sqref="B22:B24">
    <cfRule type="dataBar" priority="139">
      <dataBar>
        <cfvo type="min"/>
        <cfvo type="max"/>
        <color rgb="FF628DC4"/>
      </dataBar>
    </cfRule>
  </conditionalFormatting>
  <conditionalFormatting sqref="B30:B36">
    <cfRule type="dataBar" priority="208">
      <dataBar>
        <cfvo type="min"/>
        <cfvo type="max"/>
        <color rgb="FF628DC4"/>
      </dataBar>
    </cfRule>
  </conditionalFormatting>
  <conditionalFormatting sqref="B42:B49">
    <cfRule type="dataBar" priority="277">
      <dataBar>
        <cfvo type="min"/>
        <cfvo type="max"/>
        <color rgb="FF628DC4"/>
      </dataBar>
    </cfRule>
  </conditionalFormatting>
  <conditionalFormatting sqref="B55:B58">
    <cfRule type="dataBar" priority="346">
      <dataBar>
        <cfvo type="min"/>
        <cfvo type="max"/>
        <color rgb="FF628DC4"/>
      </dataBar>
    </cfRule>
  </conditionalFormatting>
  <conditionalFormatting sqref="B64:B66">
    <cfRule type="dataBar" priority="415">
      <dataBar>
        <cfvo type="min"/>
        <cfvo type="max"/>
        <color rgb="FF628DC4"/>
      </dataBar>
    </cfRule>
  </conditionalFormatting>
  <conditionalFormatting sqref="B72:B78">
    <cfRule type="dataBar" priority="484">
      <dataBar>
        <cfvo type="min"/>
        <cfvo type="max"/>
        <color rgb="FF628DC4"/>
      </dataBar>
    </cfRule>
  </conditionalFormatting>
  <conditionalFormatting sqref="B84:B91">
    <cfRule type="dataBar" priority="553">
      <dataBar>
        <cfvo type="min"/>
        <cfvo type="max"/>
        <color rgb="FF628DC4"/>
      </dataBar>
    </cfRule>
  </conditionalFormatting>
  <conditionalFormatting sqref="B97:B100">
    <cfRule type="dataBar" priority="622">
      <dataBar>
        <cfvo type="min"/>
        <cfvo type="max"/>
        <color rgb="FF628DC4"/>
      </dataBar>
    </cfRule>
  </conditionalFormatting>
  <conditionalFormatting sqref="B106:B108">
    <cfRule type="dataBar" priority="691">
      <dataBar>
        <cfvo type="min"/>
        <cfvo type="max"/>
        <color rgb="FF628DC4"/>
      </dataBar>
    </cfRule>
  </conditionalFormatting>
  <conditionalFormatting sqref="B114:B120">
    <cfRule type="dataBar" priority="760">
      <dataBar>
        <cfvo type="min"/>
        <cfvo type="max"/>
        <color rgb="FF628DC4"/>
      </dataBar>
    </cfRule>
  </conditionalFormatting>
  <conditionalFormatting sqref="B126:B133">
    <cfRule type="dataBar" priority="829">
      <dataBar>
        <cfvo type="min"/>
        <cfvo type="max"/>
        <color rgb="FF628DC4"/>
      </dataBar>
    </cfRule>
  </conditionalFormatting>
  <conditionalFormatting sqref="B139:B142">
    <cfRule type="dataBar" priority="898">
      <dataBar>
        <cfvo type="min"/>
        <cfvo type="max"/>
        <color rgb="FF628DC4"/>
      </dataBar>
    </cfRule>
  </conditionalFormatting>
  <conditionalFormatting sqref="B148:B150">
    <cfRule type="dataBar" priority="967">
      <dataBar>
        <cfvo type="min"/>
        <cfvo type="max"/>
        <color rgb="FF628DC4"/>
      </dataBar>
    </cfRule>
  </conditionalFormatting>
  <conditionalFormatting sqref="B156:B162">
    <cfRule type="dataBar" priority="1036">
      <dataBar>
        <cfvo type="min"/>
        <cfvo type="max"/>
        <color rgb="FF628DC4"/>
      </dataBar>
    </cfRule>
  </conditionalFormatting>
  <conditionalFormatting sqref="B168:B175">
    <cfRule type="dataBar" priority="1105">
      <dataBar>
        <cfvo type="min"/>
        <cfvo type="max"/>
        <color rgb="FF628DC4"/>
      </dataBar>
    </cfRule>
  </conditionalFormatting>
  <conditionalFormatting sqref="B181:B184">
    <cfRule type="dataBar" priority="1174">
      <dataBar>
        <cfvo type="min"/>
        <cfvo type="max"/>
        <color rgb="FF628DC4"/>
      </dataBar>
    </cfRule>
  </conditionalFormatting>
  <conditionalFormatting sqref="B190:B192">
    <cfRule type="dataBar" priority="1243">
      <dataBar>
        <cfvo type="min"/>
        <cfvo type="max"/>
        <color rgb="FF628DC4"/>
      </dataBar>
    </cfRule>
  </conditionalFormatting>
  <conditionalFormatting sqref="B198:B204">
    <cfRule type="dataBar" priority="1312">
      <dataBar>
        <cfvo type="min"/>
        <cfvo type="max"/>
        <color rgb="FF628DC4"/>
      </dataBar>
    </cfRule>
  </conditionalFormatting>
  <conditionalFormatting sqref="B210:B212">
    <cfRule type="dataBar" priority="1381">
      <dataBar>
        <cfvo type="min"/>
        <cfvo type="max"/>
        <color rgb="FF628DC4"/>
      </dataBar>
    </cfRule>
  </conditionalFormatting>
  <conditionalFormatting sqref="B218:B226">
    <cfRule type="dataBar" priority="1450">
      <dataBar>
        <cfvo type="min"/>
        <cfvo type="max"/>
        <color rgb="FF628DC4"/>
      </dataBar>
    </cfRule>
  </conditionalFormatting>
  <conditionalFormatting sqref="B232:B240">
    <cfRule type="dataBar" priority="1519">
      <dataBar>
        <cfvo type="min"/>
        <cfvo type="max"/>
        <color rgb="FF628DC4"/>
      </dataBar>
    </cfRule>
  </conditionalFormatting>
  <conditionalFormatting sqref="B246:B254">
    <cfRule type="dataBar" priority="1588">
      <dataBar>
        <cfvo type="min"/>
        <cfvo type="max"/>
        <color rgb="FF628DC4"/>
      </dataBar>
    </cfRule>
  </conditionalFormatting>
  <conditionalFormatting sqref="B260:B268">
    <cfRule type="dataBar" priority="1657">
      <dataBar>
        <cfvo type="min"/>
        <cfvo type="max"/>
        <color rgb="FF628DC4"/>
      </dataBar>
    </cfRule>
  </conditionalFormatting>
  <conditionalFormatting sqref="B274:B276">
    <cfRule type="dataBar" priority="1726">
      <dataBar>
        <cfvo type="min"/>
        <cfvo type="max"/>
        <color rgb="FF628DC4"/>
      </dataBar>
    </cfRule>
  </conditionalFormatting>
  <conditionalFormatting sqref="B282:B287">
    <cfRule type="dataBar" priority="1795">
      <dataBar>
        <cfvo type="min"/>
        <cfvo type="max"/>
        <color rgb="FF628DC4"/>
      </dataBar>
    </cfRule>
  </conditionalFormatting>
  <conditionalFormatting sqref="B293:B300">
    <cfRule type="dataBar" priority="1864">
      <dataBar>
        <cfvo type="min"/>
        <cfvo type="max"/>
        <color rgb="FF628DC4"/>
      </dataBar>
    </cfRule>
  </conditionalFormatting>
  <conditionalFormatting sqref="B306:B313">
    <cfRule type="dataBar" priority="1933">
      <dataBar>
        <cfvo type="min"/>
        <cfvo type="max"/>
        <color rgb="FF628DC4"/>
      </dataBar>
    </cfRule>
  </conditionalFormatting>
  <conditionalFormatting sqref="C6:C8">
    <cfRule type="dataBar" priority="2">
      <dataBar>
        <cfvo type="min"/>
        <cfvo type="max"/>
        <color rgb="FFFFB628"/>
      </dataBar>
    </cfRule>
  </conditionalFormatting>
  <conditionalFormatting sqref="C14:C16">
    <cfRule type="dataBar" priority="71">
      <dataBar>
        <cfvo type="min"/>
        <cfvo type="max"/>
        <color rgb="FFFFB628"/>
      </dataBar>
    </cfRule>
  </conditionalFormatting>
  <conditionalFormatting sqref="C22:C24">
    <cfRule type="dataBar" priority="140">
      <dataBar>
        <cfvo type="min"/>
        <cfvo type="max"/>
        <color rgb="FFFFB628"/>
      </dataBar>
    </cfRule>
  </conditionalFormatting>
  <conditionalFormatting sqref="C30:C36">
    <cfRule type="dataBar" priority="209">
      <dataBar>
        <cfvo type="min"/>
        <cfvo type="max"/>
        <color rgb="FFFFB628"/>
      </dataBar>
    </cfRule>
  </conditionalFormatting>
  <conditionalFormatting sqref="C42:C49">
    <cfRule type="dataBar" priority="278">
      <dataBar>
        <cfvo type="min"/>
        <cfvo type="max"/>
        <color rgb="FFFFB628"/>
      </dataBar>
    </cfRule>
  </conditionalFormatting>
  <conditionalFormatting sqref="C55:C58">
    <cfRule type="dataBar" priority="347">
      <dataBar>
        <cfvo type="min"/>
        <cfvo type="max"/>
        <color rgb="FFFFB628"/>
      </dataBar>
    </cfRule>
  </conditionalFormatting>
  <conditionalFormatting sqref="C64:C66">
    <cfRule type="dataBar" priority="416">
      <dataBar>
        <cfvo type="min"/>
        <cfvo type="max"/>
        <color rgb="FFFFB628"/>
      </dataBar>
    </cfRule>
  </conditionalFormatting>
  <conditionalFormatting sqref="C72:C78">
    <cfRule type="dataBar" priority="485">
      <dataBar>
        <cfvo type="min"/>
        <cfvo type="max"/>
        <color rgb="FFFFB628"/>
      </dataBar>
    </cfRule>
  </conditionalFormatting>
  <conditionalFormatting sqref="C84:C91">
    <cfRule type="dataBar" priority="554">
      <dataBar>
        <cfvo type="min"/>
        <cfvo type="max"/>
        <color rgb="FFFFB628"/>
      </dataBar>
    </cfRule>
  </conditionalFormatting>
  <conditionalFormatting sqref="C97:C100">
    <cfRule type="dataBar" priority="623">
      <dataBar>
        <cfvo type="min"/>
        <cfvo type="max"/>
        <color rgb="FFFFB628"/>
      </dataBar>
    </cfRule>
  </conditionalFormatting>
  <conditionalFormatting sqref="C106:C108">
    <cfRule type="dataBar" priority="692">
      <dataBar>
        <cfvo type="min"/>
        <cfvo type="max"/>
        <color rgb="FFFFB628"/>
      </dataBar>
    </cfRule>
  </conditionalFormatting>
  <conditionalFormatting sqref="C114:C120">
    <cfRule type="dataBar" priority="761">
      <dataBar>
        <cfvo type="min"/>
        <cfvo type="max"/>
        <color rgb="FFFFB628"/>
      </dataBar>
    </cfRule>
  </conditionalFormatting>
  <conditionalFormatting sqref="C126:C133">
    <cfRule type="dataBar" priority="830">
      <dataBar>
        <cfvo type="min"/>
        <cfvo type="max"/>
        <color rgb="FFFFB628"/>
      </dataBar>
    </cfRule>
  </conditionalFormatting>
  <conditionalFormatting sqref="C139:C142">
    <cfRule type="dataBar" priority="899">
      <dataBar>
        <cfvo type="min"/>
        <cfvo type="max"/>
        <color rgb="FFFFB628"/>
      </dataBar>
    </cfRule>
  </conditionalFormatting>
  <conditionalFormatting sqref="C148:C150">
    <cfRule type="dataBar" priority="968">
      <dataBar>
        <cfvo type="min"/>
        <cfvo type="max"/>
        <color rgb="FFFFB628"/>
      </dataBar>
    </cfRule>
  </conditionalFormatting>
  <conditionalFormatting sqref="C156:C162">
    <cfRule type="dataBar" priority="1037">
      <dataBar>
        <cfvo type="min"/>
        <cfvo type="max"/>
        <color rgb="FFFFB628"/>
      </dataBar>
    </cfRule>
  </conditionalFormatting>
  <conditionalFormatting sqref="C168:C175">
    <cfRule type="dataBar" priority="1106">
      <dataBar>
        <cfvo type="min"/>
        <cfvo type="max"/>
        <color rgb="FFFFB628"/>
      </dataBar>
    </cfRule>
  </conditionalFormatting>
  <conditionalFormatting sqref="C181:C184">
    <cfRule type="dataBar" priority="1175">
      <dataBar>
        <cfvo type="min"/>
        <cfvo type="max"/>
        <color rgb="FFFFB628"/>
      </dataBar>
    </cfRule>
  </conditionalFormatting>
  <conditionalFormatting sqref="C190:C192">
    <cfRule type="dataBar" priority="1244">
      <dataBar>
        <cfvo type="min"/>
        <cfvo type="max"/>
        <color rgb="FFFFB628"/>
      </dataBar>
    </cfRule>
  </conditionalFormatting>
  <conditionalFormatting sqref="C198:C204">
    <cfRule type="dataBar" priority="1313">
      <dataBar>
        <cfvo type="min"/>
        <cfvo type="max"/>
        <color rgb="FFFFB628"/>
      </dataBar>
    </cfRule>
  </conditionalFormatting>
  <conditionalFormatting sqref="C210:C212">
    <cfRule type="dataBar" priority="1382">
      <dataBar>
        <cfvo type="min"/>
        <cfvo type="max"/>
        <color rgb="FFFFB628"/>
      </dataBar>
    </cfRule>
  </conditionalFormatting>
  <conditionalFormatting sqref="C218:C226">
    <cfRule type="dataBar" priority="1451">
      <dataBar>
        <cfvo type="min"/>
        <cfvo type="max"/>
        <color rgb="FFFFB628"/>
      </dataBar>
    </cfRule>
  </conditionalFormatting>
  <conditionalFormatting sqref="C232:C240">
    <cfRule type="dataBar" priority="1520">
      <dataBar>
        <cfvo type="min"/>
        <cfvo type="max"/>
        <color rgb="FFFFB628"/>
      </dataBar>
    </cfRule>
  </conditionalFormatting>
  <conditionalFormatting sqref="C246:C254">
    <cfRule type="dataBar" priority="1589">
      <dataBar>
        <cfvo type="min"/>
        <cfvo type="max"/>
        <color rgb="FFFFB628"/>
      </dataBar>
    </cfRule>
  </conditionalFormatting>
  <conditionalFormatting sqref="C260:C268">
    <cfRule type="dataBar" priority="1658">
      <dataBar>
        <cfvo type="min"/>
        <cfvo type="max"/>
        <color rgb="FFFFB628"/>
      </dataBar>
    </cfRule>
  </conditionalFormatting>
  <conditionalFormatting sqref="C274:C276">
    <cfRule type="dataBar" priority="1727">
      <dataBar>
        <cfvo type="min"/>
        <cfvo type="max"/>
        <color rgb="FFFFB628"/>
      </dataBar>
    </cfRule>
  </conditionalFormatting>
  <conditionalFormatting sqref="C282:C287">
    <cfRule type="dataBar" priority="1796">
      <dataBar>
        <cfvo type="min"/>
        <cfvo type="max"/>
        <color rgb="FFFFB628"/>
      </dataBar>
    </cfRule>
  </conditionalFormatting>
  <conditionalFormatting sqref="C293:C300">
    <cfRule type="dataBar" priority="1865">
      <dataBar>
        <cfvo type="min"/>
        <cfvo type="max"/>
        <color rgb="FFFFB628"/>
      </dataBar>
    </cfRule>
  </conditionalFormatting>
  <conditionalFormatting sqref="C306:C313">
    <cfRule type="dataBar" priority="1934">
      <dataBar>
        <cfvo type="min"/>
        <cfvo type="max"/>
        <color rgb="FFFFB628"/>
      </dataBar>
    </cfRule>
  </conditionalFormatting>
  <conditionalFormatting sqref="D6:D8">
    <cfRule type="dataBar" priority="3">
      <dataBar>
        <cfvo type="min"/>
        <cfvo type="max"/>
        <color rgb="FFF08D5B"/>
      </dataBar>
    </cfRule>
  </conditionalFormatting>
  <conditionalFormatting sqref="D14:D16">
    <cfRule type="dataBar" priority="72">
      <dataBar>
        <cfvo type="min"/>
        <cfvo type="max"/>
        <color rgb="FFF08D5B"/>
      </dataBar>
    </cfRule>
  </conditionalFormatting>
  <conditionalFormatting sqref="D22:D24">
    <cfRule type="dataBar" priority="141">
      <dataBar>
        <cfvo type="min"/>
        <cfvo type="max"/>
        <color rgb="FFF08D5B"/>
      </dataBar>
    </cfRule>
  </conditionalFormatting>
  <conditionalFormatting sqref="D30:D36">
    <cfRule type="dataBar" priority="210">
      <dataBar>
        <cfvo type="min"/>
        <cfvo type="max"/>
        <color rgb="FFF08D5B"/>
      </dataBar>
    </cfRule>
  </conditionalFormatting>
  <conditionalFormatting sqref="D42:D49">
    <cfRule type="dataBar" priority="279">
      <dataBar>
        <cfvo type="min"/>
        <cfvo type="max"/>
        <color rgb="FFF08D5B"/>
      </dataBar>
    </cfRule>
  </conditionalFormatting>
  <conditionalFormatting sqref="D55:D58">
    <cfRule type="dataBar" priority="348">
      <dataBar>
        <cfvo type="min"/>
        <cfvo type="max"/>
        <color rgb="FFF08D5B"/>
      </dataBar>
    </cfRule>
  </conditionalFormatting>
  <conditionalFormatting sqref="D64:D66">
    <cfRule type="dataBar" priority="417">
      <dataBar>
        <cfvo type="min"/>
        <cfvo type="max"/>
        <color rgb="FFF08D5B"/>
      </dataBar>
    </cfRule>
  </conditionalFormatting>
  <conditionalFormatting sqref="D72:D78">
    <cfRule type="dataBar" priority="486">
      <dataBar>
        <cfvo type="min"/>
        <cfvo type="max"/>
        <color rgb="FFF08D5B"/>
      </dataBar>
    </cfRule>
  </conditionalFormatting>
  <conditionalFormatting sqref="D84:D91">
    <cfRule type="dataBar" priority="555">
      <dataBar>
        <cfvo type="min"/>
        <cfvo type="max"/>
        <color rgb="FFF08D5B"/>
      </dataBar>
    </cfRule>
  </conditionalFormatting>
  <conditionalFormatting sqref="D97:D100">
    <cfRule type="dataBar" priority="624">
      <dataBar>
        <cfvo type="min"/>
        <cfvo type="max"/>
        <color rgb="FFF08D5B"/>
      </dataBar>
    </cfRule>
  </conditionalFormatting>
  <conditionalFormatting sqref="D106:D108">
    <cfRule type="dataBar" priority="693">
      <dataBar>
        <cfvo type="min"/>
        <cfvo type="max"/>
        <color rgb="FFF08D5B"/>
      </dataBar>
    </cfRule>
  </conditionalFormatting>
  <conditionalFormatting sqref="D114:D120">
    <cfRule type="dataBar" priority="762">
      <dataBar>
        <cfvo type="min"/>
        <cfvo type="max"/>
        <color rgb="FFF08D5B"/>
      </dataBar>
    </cfRule>
  </conditionalFormatting>
  <conditionalFormatting sqref="D126:D133">
    <cfRule type="dataBar" priority="831">
      <dataBar>
        <cfvo type="min"/>
        <cfvo type="max"/>
        <color rgb="FFF08D5B"/>
      </dataBar>
    </cfRule>
  </conditionalFormatting>
  <conditionalFormatting sqref="D139:D142">
    <cfRule type="dataBar" priority="900">
      <dataBar>
        <cfvo type="min"/>
        <cfvo type="max"/>
        <color rgb="FFF08D5B"/>
      </dataBar>
    </cfRule>
  </conditionalFormatting>
  <conditionalFormatting sqref="D148:D150">
    <cfRule type="dataBar" priority="969">
      <dataBar>
        <cfvo type="min"/>
        <cfvo type="max"/>
        <color rgb="FFF08D5B"/>
      </dataBar>
    </cfRule>
  </conditionalFormatting>
  <conditionalFormatting sqref="D156:D162">
    <cfRule type="dataBar" priority="1038">
      <dataBar>
        <cfvo type="min"/>
        <cfvo type="max"/>
        <color rgb="FFF08D5B"/>
      </dataBar>
    </cfRule>
  </conditionalFormatting>
  <conditionalFormatting sqref="D168:D175">
    <cfRule type="dataBar" priority="1107">
      <dataBar>
        <cfvo type="min"/>
        <cfvo type="max"/>
        <color rgb="FFF08D5B"/>
      </dataBar>
    </cfRule>
  </conditionalFormatting>
  <conditionalFormatting sqref="D181:D184">
    <cfRule type="dataBar" priority="1176">
      <dataBar>
        <cfvo type="min"/>
        <cfvo type="max"/>
        <color rgb="FFF08D5B"/>
      </dataBar>
    </cfRule>
  </conditionalFormatting>
  <conditionalFormatting sqref="D190:D192">
    <cfRule type="dataBar" priority="1245">
      <dataBar>
        <cfvo type="min"/>
        <cfvo type="max"/>
        <color rgb="FFF08D5B"/>
      </dataBar>
    </cfRule>
  </conditionalFormatting>
  <conditionalFormatting sqref="D198:D204">
    <cfRule type="dataBar" priority="1314">
      <dataBar>
        <cfvo type="min"/>
        <cfvo type="max"/>
        <color rgb="FFF08D5B"/>
      </dataBar>
    </cfRule>
  </conditionalFormatting>
  <conditionalFormatting sqref="D210:D212">
    <cfRule type="dataBar" priority="1383">
      <dataBar>
        <cfvo type="min"/>
        <cfvo type="max"/>
        <color rgb="FFF08D5B"/>
      </dataBar>
    </cfRule>
  </conditionalFormatting>
  <conditionalFormatting sqref="D218:D226">
    <cfRule type="dataBar" priority="1452">
      <dataBar>
        <cfvo type="min"/>
        <cfvo type="max"/>
        <color rgb="FFF08D5B"/>
      </dataBar>
    </cfRule>
  </conditionalFormatting>
  <conditionalFormatting sqref="D232:D240">
    <cfRule type="dataBar" priority="1521">
      <dataBar>
        <cfvo type="min"/>
        <cfvo type="max"/>
        <color rgb="FFF08D5B"/>
      </dataBar>
    </cfRule>
  </conditionalFormatting>
  <conditionalFormatting sqref="D246:D254">
    <cfRule type="dataBar" priority="1590">
      <dataBar>
        <cfvo type="min"/>
        <cfvo type="max"/>
        <color rgb="FFF08D5B"/>
      </dataBar>
    </cfRule>
  </conditionalFormatting>
  <conditionalFormatting sqref="D260:D268">
    <cfRule type="dataBar" priority="1659">
      <dataBar>
        <cfvo type="min"/>
        <cfvo type="max"/>
        <color rgb="FFF08D5B"/>
      </dataBar>
    </cfRule>
  </conditionalFormatting>
  <conditionalFormatting sqref="D274:D276">
    <cfRule type="dataBar" priority="1728">
      <dataBar>
        <cfvo type="min"/>
        <cfvo type="max"/>
        <color rgb="FFF08D5B"/>
      </dataBar>
    </cfRule>
  </conditionalFormatting>
  <conditionalFormatting sqref="D282:D287">
    <cfRule type="dataBar" priority="1797">
      <dataBar>
        <cfvo type="min"/>
        <cfvo type="max"/>
        <color rgb="FFF08D5B"/>
      </dataBar>
    </cfRule>
  </conditionalFormatting>
  <conditionalFormatting sqref="D293:D300">
    <cfRule type="dataBar" priority="1866">
      <dataBar>
        <cfvo type="min"/>
        <cfvo type="max"/>
        <color rgb="FFF08D5B"/>
      </dataBar>
    </cfRule>
  </conditionalFormatting>
  <conditionalFormatting sqref="D306:D313">
    <cfRule type="dataBar" priority="1935">
      <dataBar>
        <cfvo type="min"/>
        <cfvo type="max"/>
        <color rgb="FFF08D5B"/>
      </dataBar>
    </cfRule>
  </conditionalFormatting>
  <conditionalFormatting sqref="F6:F8">
    <cfRule type="dataBar" priority="4">
      <dataBar>
        <cfvo type="min"/>
        <cfvo type="max"/>
        <color rgb="FF628DC4"/>
      </dataBar>
    </cfRule>
  </conditionalFormatting>
  <conditionalFormatting sqref="F14:F16">
    <cfRule type="dataBar" priority="73">
      <dataBar>
        <cfvo type="min"/>
        <cfvo type="max"/>
        <color rgb="FF628DC4"/>
      </dataBar>
    </cfRule>
  </conditionalFormatting>
  <conditionalFormatting sqref="F22:F24">
    <cfRule type="dataBar" priority="142">
      <dataBar>
        <cfvo type="min"/>
        <cfvo type="max"/>
        <color rgb="FF628DC4"/>
      </dataBar>
    </cfRule>
  </conditionalFormatting>
  <conditionalFormatting sqref="F30:F36">
    <cfRule type="dataBar" priority="211">
      <dataBar>
        <cfvo type="min"/>
        <cfvo type="max"/>
        <color rgb="FF628DC4"/>
      </dataBar>
    </cfRule>
  </conditionalFormatting>
  <conditionalFormatting sqref="F42:F49">
    <cfRule type="dataBar" priority="280">
      <dataBar>
        <cfvo type="min"/>
        <cfvo type="max"/>
        <color rgb="FF628DC4"/>
      </dataBar>
    </cfRule>
  </conditionalFormatting>
  <conditionalFormatting sqref="F55:F58">
    <cfRule type="dataBar" priority="349">
      <dataBar>
        <cfvo type="min"/>
        <cfvo type="max"/>
        <color rgb="FF628DC4"/>
      </dataBar>
    </cfRule>
  </conditionalFormatting>
  <conditionalFormatting sqref="F64:F66">
    <cfRule type="dataBar" priority="418">
      <dataBar>
        <cfvo type="min"/>
        <cfvo type="max"/>
        <color rgb="FF628DC4"/>
      </dataBar>
    </cfRule>
  </conditionalFormatting>
  <conditionalFormatting sqref="F72:F78">
    <cfRule type="dataBar" priority="487">
      <dataBar>
        <cfvo type="min"/>
        <cfvo type="max"/>
        <color rgb="FF628DC4"/>
      </dataBar>
    </cfRule>
  </conditionalFormatting>
  <conditionalFormatting sqref="F84:F91">
    <cfRule type="dataBar" priority="556">
      <dataBar>
        <cfvo type="min"/>
        <cfvo type="max"/>
        <color rgb="FF628DC4"/>
      </dataBar>
    </cfRule>
  </conditionalFormatting>
  <conditionalFormatting sqref="F97:F100">
    <cfRule type="dataBar" priority="625">
      <dataBar>
        <cfvo type="min"/>
        <cfvo type="max"/>
        <color rgb="FF628DC4"/>
      </dataBar>
    </cfRule>
  </conditionalFormatting>
  <conditionalFormatting sqref="F106:F108">
    <cfRule type="dataBar" priority="694">
      <dataBar>
        <cfvo type="min"/>
        <cfvo type="max"/>
        <color rgb="FF628DC4"/>
      </dataBar>
    </cfRule>
  </conditionalFormatting>
  <conditionalFormatting sqref="F114:F120">
    <cfRule type="dataBar" priority="763">
      <dataBar>
        <cfvo type="min"/>
        <cfvo type="max"/>
        <color rgb="FF628DC4"/>
      </dataBar>
    </cfRule>
  </conditionalFormatting>
  <conditionalFormatting sqref="F126:F133">
    <cfRule type="dataBar" priority="832">
      <dataBar>
        <cfvo type="min"/>
        <cfvo type="max"/>
        <color rgb="FF628DC4"/>
      </dataBar>
    </cfRule>
  </conditionalFormatting>
  <conditionalFormatting sqref="F139:F142">
    <cfRule type="dataBar" priority="901">
      <dataBar>
        <cfvo type="min"/>
        <cfvo type="max"/>
        <color rgb="FF628DC4"/>
      </dataBar>
    </cfRule>
  </conditionalFormatting>
  <conditionalFormatting sqref="F148:F150">
    <cfRule type="dataBar" priority="970">
      <dataBar>
        <cfvo type="min"/>
        <cfvo type="max"/>
        <color rgb="FF628DC4"/>
      </dataBar>
    </cfRule>
  </conditionalFormatting>
  <conditionalFormatting sqref="F156:F162">
    <cfRule type="dataBar" priority="1039">
      <dataBar>
        <cfvo type="min"/>
        <cfvo type="max"/>
        <color rgb="FF628DC4"/>
      </dataBar>
    </cfRule>
  </conditionalFormatting>
  <conditionalFormatting sqref="F168:F175">
    <cfRule type="dataBar" priority="1108">
      <dataBar>
        <cfvo type="min"/>
        <cfvo type="max"/>
        <color rgb="FF628DC4"/>
      </dataBar>
    </cfRule>
  </conditionalFormatting>
  <conditionalFormatting sqref="F181:F184">
    <cfRule type="dataBar" priority="1177">
      <dataBar>
        <cfvo type="min"/>
        <cfvo type="max"/>
        <color rgb="FF628DC4"/>
      </dataBar>
    </cfRule>
  </conditionalFormatting>
  <conditionalFormatting sqref="F190:F192">
    <cfRule type="dataBar" priority="1246">
      <dataBar>
        <cfvo type="min"/>
        <cfvo type="max"/>
        <color rgb="FF628DC4"/>
      </dataBar>
    </cfRule>
  </conditionalFormatting>
  <conditionalFormatting sqref="F198:F204">
    <cfRule type="dataBar" priority="1315">
      <dataBar>
        <cfvo type="min"/>
        <cfvo type="max"/>
        <color rgb="FF628DC4"/>
      </dataBar>
    </cfRule>
  </conditionalFormatting>
  <conditionalFormatting sqref="F210:F212">
    <cfRule type="dataBar" priority="1384">
      <dataBar>
        <cfvo type="min"/>
        <cfvo type="max"/>
        <color rgb="FF628DC4"/>
      </dataBar>
    </cfRule>
  </conditionalFormatting>
  <conditionalFormatting sqref="F218:F226">
    <cfRule type="dataBar" priority="1453">
      <dataBar>
        <cfvo type="min"/>
        <cfvo type="max"/>
        <color rgb="FF628DC4"/>
      </dataBar>
    </cfRule>
  </conditionalFormatting>
  <conditionalFormatting sqref="F232:F240">
    <cfRule type="dataBar" priority="1522">
      <dataBar>
        <cfvo type="min"/>
        <cfvo type="max"/>
        <color rgb="FF628DC4"/>
      </dataBar>
    </cfRule>
  </conditionalFormatting>
  <conditionalFormatting sqref="F246:F254">
    <cfRule type="dataBar" priority="1591">
      <dataBar>
        <cfvo type="min"/>
        <cfvo type="max"/>
        <color rgb="FF628DC4"/>
      </dataBar>
    </cfRule>
  </conditionalFormatting>
  <conditionalFormatting sqref="F260:F268">
    <cfRule type="dataBar" priority="1660">
      <dataBar>
        <cfvo type="min"/>
        <cfvo type="max"/>
        <color rgb="FF628DC4"/>
      </dataBar>
    </cfRule>
  </conditionalFormatting>
  <conditionalFormatting sqref="F274:F276">
    <cfRule type="dataBar" priority="1729">
      <dataBar>
        <cfvo type="min"/>
        <cfvo type="max"/>
        <color rgb="FF628DC4"/>
      </dataBar>
    </cfRule>
  </conditionalFormatting>
  <conditionalFormatting sqref="F282:F287">
    <cfRule type="dataBar" priority="1798">
      <dataBar>
        <cfvo type="min"/>
        <cfvo type="max"/>
        <color rgb="FF628DC4"/>
      </dataBar>
    </cfRule>
  </conditionalFormatting>
  <conditionalFormatting sqref="F293:F300">
    <cfRule type="dataBar" priority="1867">
      <dataBar>
        <cfvo type="min"/>
        <cfvo type="max"/>
        <color rgb="FF628DC4"/>
      </dataBar>
    </cfRule>
  </conditionalFormatting>
  <conditionalFormatting sqref="F306:F313">
    <cfRule type="dataBar" priority="1936">
      <dataBar>
        <cfvo type="min"/>
        <cfvo type="max"/>
        <color rgb="FF628DC4"/>
      </dataBar>
    </cfRule>
  </conditionalFormatting>
  <conditionalFormatting sqref="G6:G8">
    <cfRule type="dataBar" priority="5">
      <dataBar>
        <cfvo type="min"/>
        <cfvo type="max"/>
        <color rgb="FFFFB628"/>
      </dataBar>
    </cfRule>
  </conditionalFormatting>
  <conditionalFormatting sqref="G14:G16">
    <cfRule type="dataBar" priority="74">
      <dataBar>
        <cfvo type="min"/>
        <cfvo type="max"/>
        <color rgb="FFFFB628"/>
      </dataBar>
    </cfRule>
  </conditionalFormatting>
  <conditionalFormatting sqref="G22:G24">
    <cfRule type="dataBar" priority="143">
      <dataBar>
        <cfvo type="min"/>
        <cfvo type="max"/>
        <color rgb="FFFFB628"/>
      </dataBar>
    </cfRule>
  </conditionalFormatting>
  <conditionalFormatting sqref="G30:G36">
    <cfRule type="dataBar" priority="212">
      <dataBar>
        <cfvo type="min"/>
        <cfvo type="max"/>
        <color rgb="FFFFB628"/>
      </dataBar>
    </cfRule>
  </conditionalFormatting>
  <conditionalFormatting sqref="G42:G49">
    <cfRule type="dataBar" priority="281">
      <dataBar>
        <cfvo type="min"/>
        <cfvo type="max"/>
        <color rgb="FFFFB628"/>
      </dataBar>
    </cfRule>
  </conditionalFormatting>
  <conditionalFormatting sqref="G55:G58">
    <cfRule type="dataBar" priority="350">
      <dataBar>
        <cfvo type="min"/>
        <cfvo type="max"/>
        <color rgb="FFFFB628"/>
      </dataBar>
    </cfRule>
  </conditionalFormatting>
  <conditionalFormatting sqref="G64:G66">
    <cfRule type="dataBar" priority="419">
      <dataBar>
        <cfvo type="min"/>
        <cfvo type="max"/>
        <color rgb="FFFFB628"/>
      </dataBar>
    </cfRule>
  </conditionalFormatting>
  <conditionalFormatting sqref="G72:G78">
    <cfRule type="dataBar" priority="488">
      <dataBar>
        <cfvo type="min"/>
        <cfvo type="max"/>
        <color rgb="FFFFB628"/>
      </dataBar>
    </cfRule>
  </conditionalFormatting>
  <conditionalFormatting sqref="G84:G91">
    <cfRule type="dataBar" priority="557">
      <dataBar>
        <cfvo type="min"/>
        <cfvo type="max"/>
        <color rgb="FFFFB628"/>
      </dataBar>
    </cfRule>
  </conditionalFormatting>
  <conditionalFormatting sqref="G97:G100">
    <cfRule type="dataBar" priority="626">
      <dataBar>
        <cfvo type="min"/>
        <cfvo type="max"/>
        <color rgb="FFFFB628"/>
      </dataBar>
    </cfRule>
  </conditionalFormatting>
  <conditionalFormatting sqref="G106:G108">
    <cfRule type="dataBar" priority="695">
      <dataBar>
        <cfvo type="min"/>
        <cfvo type="max"/>
        <color rgb="FFFFB628"/>
      </dataBar>
    </cfRule>
  </conditionalFormatting>
  <conditionalFormatting sqref="G114:G120">
    <cfRule type="dataBar" priority="764">
      <dataBar>
        <cfvo type="min"/>
        <cfvo type="max"/>
        <color rgb="FFFFB628"/>
      </dataBar>
    </cfRule>
  </conditionalFormatting>
  <conditionalFormatting sqref="G126:G133">
    <cfRule type="dataBar" priority="833">
      <dataBar>
        <cfvo type="min"/>
        <cfvo type="max"/>
        <color rgb="FFFFB628"/>
      </dataBar>
    </cfRule>
  </conditionalFormatting>
  <conditionalFormatting sqref="G139:G142">
    <cfRule type="dataBar" priority="902">
      <dataBar>
        <cfvo type="min"/>
        <cfvo type="max"/>
        <color rgb="FFFFB628"/>
      </dataBar>
    </cfRule>
  </conditionalFormatting>
  <conditionalFormatting sqref="G148:G150">
    <cfRule type="dataBar" priority="971">
      <dataBar>
        <cfvo type="min"/>
        <cfvo type="max"/>
        <color rgb="FFFFB628"/>
      </dataBar>
    </cfRule>
  </conditionalFormatting>
  <conditionalFormatting sqref="G156:G162">
    <cfRule type="dataBar" priority="1040">
      <dataBar>
        <cfvo type="min"/>
        <cfvo type="max"/>
        <color rgb="FFFFB628"/>
      </dataBar>
    </cfRule>
  </conditionalFormatting>
  <conditionalFormatting sqref="G168:G175">
    <cfRule type="dataBar" priority="1109">
      <dataBar>
        <cfvo type="min"/>
        <cfvo type="max"/>
        <color rgb="FFFFB628"/>
      </dataBar>
    </cfRule>
  </conditionalFormatting>
  <conditionalFormatting sqref="G181:G184">
    <cfRule type="dataBar" priority="1178">
      <dataBar>
        <cfvo type="min"/>
        <cfvo type="max"/>
        <color rgb="FFFFB628"/>
      </dataBar>
    </cfRule>
  </conditionalFormatting>
  <conditionalFormatting sqref="G190:G192">
    <cfRule type="dataBar" priority="1247">
      <dataBar>
        <cfvo type="min"/>
        <cfvo type="max"/>
        <color rgb="FFFFB628"/>
      </dataBar>
    </cfRule>
  </conditionalFormatting>
  <conditionalFormatting sqref="G198:G204">
    <cfRule type="dataBar" priority="1316">
      <dataBar>
        <cfvo type="min"/>
        <cfvo type="max"/>
        <color rgb="FFFFB628"/>
      </dataBar>
    </cfRule>
  </conditionalFormatting>
  <conditionalFormatting sqref="G210:G212">
    <cfRule type="dataBar" priority="1385">
      <dataBar>
        <cfvo type="min"/>
        <cfvo type="max"/>
        <color rgb="FFFFB628"/>
      </dataBar>
    </cfRule>
  </conditionalFormatting>
  <conditionalFormatting sqref="G218:G226">
    <cfRule type="dataBar" priority="1454">
      <dataBar>
        <cfvo type="min"/>
        <cfvo type="max"/>
        <color rgb="FFFFB628"/>
      </dataBar>
    </cfRule>
  </conditionalFormatting>
  <conditionalFormatting sqref="G232:G240">
    <cfRule type="dataBar" priority="1523">
      <dataBar>
        <cfvo type="min"/>
        <cfvo type="max"/>
        <color rgb="FFFFB628"/>
      </dataBar>
    </cfRule>
  </conditionalFormatting>
  <conditionalFormatting sqref="G246:G254">
    <cfRule type="dataBar" priority="1592">
      <dataBar>
        <cfvo type="min"/>
        <cfvo type="max"/>
        <color rgb="FFFFB628"/>
      </dataBar>
    </cfRule>
  </conditionalFormatting>
  <conditionalFormatting sqref="G260:G268">
    <cfRule type="dataBar" priority="1661">
      <dataBar>
        <cfvo type="min"/>
        <cfvo type="max"/>
        <color rgb="FFFFB628"/>
      </dataBar>
    </cfRule>
  </conditionalFormatting>
  <conditionalFormatting sqref="G274:G276">
    <cfRule type="dataBar" priority="1730">
      <dataBar>
        <cfvo type="min"/>
        <cfvo type="max"/>
        <color rgb="FFFFB628"/>
      </dataBar>
    </cfRule>
  </conditionalFormatting>
  <conditionalFormatting sqref="G282:G287">
    <cfRule type="dataBar" priority="1799">
      <dataBar>
        <cfvo type="min"/>
        <cfvo type="max"/>
        <color rgb="FFFFB628"/>
      </dataBar>
    </cfRule>
  </conditionalFormatting>
  <conditionalFormatting sqref="G293:G300">
    <cfRule type="dataBar" priority="1868">
      <dataBar>
        <cfvo type="min"/>
        <cfvo type="max"/>
        <color rgb="FFFFB628"/>
      </dataBar>
    </cfRule>
  </conditionalFormatting>
  <conditionalFormatting sqref="G306:G313">
    <cfRule type="dataBar" priority="1937">
      <dataBar>
        <cfvo type="min"/>
        <cfvo type="max"/>
        <color rgb="FFFFB628"/>
      </dataBar>
    </cfRule>
  </conditionalFormatting>
  <conditionalFormatting sqref="H6:H8">
    <cfRule type="dataBar" priority="6">
      <dataBar>
        <cfvo type="min"/>
        <cfvo type="max"/>
        <color rgb="FFF08D5B"/>
      </dataBar>
    </cfRule>
  </conditionalFormatting>
  <conditionalFormatting sqref="H14:H16">
    <cfRule type="dataBar" priority="75">
      <dataBar>
        <cfvo type="min"/>
        <cfvo type="max"/>
        <color rgb="FFF08D5B"/>
      </dataBar>
    </cfRule>
  </conditionalFormatting>
  <conditionalFormatting sqref="H22:H24">
    <cfRule type="dataBar" priority="144">
      <dataBar>
        <cfvo type="min"/>
        <cfvo type="max"/>
        <color rgb="FFF08D5B"/>
      </dataBar>
    </cfRule>
  </conditionalFormatting>
  <conditionalFormatting sqref="H30:H36">
    <cfRule type="dataBar" priority="213">
      <dataBar>
        <cfvo type="min"/>
        <cfvo type="max"/>
        <color rgb="FFF08D5B"/>
      </dataBar>
    </cfRule>
  </conditionalFormatting>
  <conditionalFormatting sqref="H42:H49">
    <cfRule type="dataBar" priority="282">
      <dataBar>
        <cfvo type="min"/>
        <cfvo type="max"/>
        <color rgb="FFF08D5B"/>
      </dataBar>
    </cfRule>
  </conditionalFormatting>
  <conditionalFormatting sqref="H55:H58">
    <cfRule type="dataBar" priority="351">
      <dataBar>
        <cfvo type="min"/>
        <cfvo type="max"/>
        <color rgb="FFF08D5B"/>
      </dataBar>
    </cfRule>
  </conditionalFormatting>
  <conditionalFormatting sqref="H64:H66">
    <cfRule type="dataBar" priority="420">
      <dataBar>
        <cfvo type="min"/>
        <cfvo type="max"/>
        <color rgb="FFF08D5B"/>
      </dataBar>
    </cfRule>
  </conditionalFormatting>
  <conditionalFormatting sqref="H72:H78">
    <cfRule type="dataBar" priority="489">
      <dataBar>
        <cfvo type="min"/>
        <cfvo type="max"/>
        <color rgb="FFF08D5B"/>
      </dataBar>
    </cfRule>
  </conditionalFormatting>
  <conditionalFormatting sqref="H84:H91">
    <cfRule type="dataBar" priority="558">
      <dataBar>
        <cfvo type="min"/>
        <cfvo type="max"/>
        <color rgb="FFF08D5B"/>
      </dataBar>
    </cfRule>
  </conditionalFormatting>
  <conditionalFormatting sqref="H97:H100">
    <cfRule type="dataBar" priority="627">
      <dataBar>
        <cfvo type="min"/>
        <cfvo type="max"/>
        <color rgb="FFF08D5B"/>
      </dataBar>
    </cfRule>
  </conditionalFormatting>
  <conditionalFormatting sqref="H106:H108">
    <cfRule type="dataBar" priority="696">
      <dataBar>
        <cfvo type="min"/>
        <cfvo type="max"/>
        <color rgb="FFF08D5B"/>
      </dataBar>
    </cfRule>
  </conditionalFormatting>
  <conditionalFormatting sqref="H114:H120">
    <cfRule type="dataBar" priority="765">
      <dataBar>
        <cfvo type="min"/>
        <cfvo type="max"/>
        <color rgb="FFF08D5B"/>
      </dataBar>
    </cfRule>
  </conditionalFormatting>
  <conditionalFormatting sqref="H126:H133">
    <cfRule type="dataBar" priority="834">
      <dataBar>
        <cfvo type="min"/>
        <cfvo type="max"/>
        <color rgb="FFF08D5B"/>
      </dataBar>
    </cfRule>
  </conditionalFormatting>
  <conditionalFormatting sqref="H139:H142">
    <cfRule type="dataBar" priority="903">
      <dataBar>
        <cfvo type="min"/>
        <cfvo type="max"/>
        <color rgb="FFF08D5B"/>
      </dataBar>
    </cfRule>
  </conditionalFormatting>
  <conditionalFormatting sqref="H148:H150">
    <cfRule type="dataBar" priority="972">
      <dataBar>
        <cfvo type="min"/>
        <cfvo type="max"/>
        <color rgb="FFF08D5B"/>
      </dataBar>
    </cfRule>
  </conditionalFormatting>
  <conditionalFormatting sqref="H156:H162">
    <cfRule type="dataBar" priority="1041">
      <dataBar>
        <cfvo type="min"/>
        <cfvo type="max"/>
        <color rgb="FFF08D5B"/>
      </dataBar>
    </cfRule>
  </conditionalFormatting>
  <conditionalFormatting sqref="H168:H175">
    <cfRule type="dataBar" priority="1110">
      <dataBar>
        <cfvo type="min"/>
        <cfvo type="max"/>
        <color rgb="FFF08D5B"/>
      </dataBar>
    </cfRule>
  </conditionalFormatting>
  <conditionalFormatting sqref="H181:H184">
    <cfRule type="dataBar" priority="1179">
      <dataBar>
        <cfvo type="min"/>
        <cfvo type="max"/>
        <color rgb="FFF08D5B"/>
      </dataBar>
    </cfRule>
  </conditionalFormatting>
  <conditionalFormatting sqref="H190:H192">
    <cfRule type="dataBar" priority="1248">
      <dataBar>
        <cfvo type="min"/>
        <cfvo type="max"/>
        <color rgb="FFF08D5B"/>
      </dataBar>
    </cfRule>
  </conditionalFormatting>
  <conditionalFormatting sqref="H198:H204">
    <cfRule type="dataBar" priority="1317">
      <dataBar>
        <cfvo type="min"/>
        <cfvo type="max"/>
        <color rgb="FFF08D5B"/>
      </dataBar>
    </cfRule>
  </conditionalFormatting>
  <conditionalFormatting sqref="H210:H212">
    <cfRule type="dataBar" priority="1386">
      <dataBar>
        <cfvo type="min"/>
        <cfvo type="max"/>
        <color rgb="FFF08D5B"/>
      </dataBar>
    </cfRule>
  </conditionalFormatting>
  <conditionalFormatting sqref="H218:H226">
    <cfRule type="dataBar" priority="1455">
      <dataBar>
        <cfvo type="min"/>
        <cfvo type="max"/>
        <color rgb="FFF08D5B"/>
      </dataBar>
    </cfRule>
  </conditionalFormatting>
  <conditionalFormatting sqref="H232:H240">
    <cfRule type="dataBar" priority="1524">
      <dataBar>
        <cfvo type="min"/>
        <cfvo type="max"/>
        <color rgb="FFF08D5B"/>
      </dataBar>
    </cfRule>
  </conditionalFormatting>
  <conditionalFormatting sqref="H246:H254">
    <cfRule type="dataBar" priority="1593">
      <dataBar>
        <cfvo type="min"/>
        <cfvo type="max"/>
        <color rgb="FFF08D5B"/>
      </dataBar>
    </cfRule>
  </conditionalFormatting>
  <conditionalFormatting sqref="H260:H268">
    <cfRule type="dataBar" priority="1662">
      <dataBar>
        <cfvo type="min"/>
        <cfvo type="max"/>
        <color rgb="FFF08D5B"/>
      </dataBar>
    </cfRule>
  </conditionalFormatting>
  <conditionalFormatting sqref="H274:H276">
    <cfRule type="dataBar" priority="1731">
      <dataBar>
        <cfvo type="min"/>
        <cfvo type="max"/>
        <color rgb="FFF08D5B"/>
      </dataBar>
    </cfRule>
  </conditionalFormatting>
  <conditionalFormatting sqref="H282:H287">
    <cfRule type="dataBar" priority="1800">
      <dataBar>
        <cfvo type="min"/>
        <cfvo type="max"/>
        <color rgb="FFF08D5B"/>
      </dataBar>
    </cfRule>
  </conditionalFormatting>
  <conditionalFormatting sqref="H293:H300">
    <cfRule type="dataBar" priority="1869">
      <dataBar>
        <cfvo type="min"/>
        <cfvo type="max"/>
        <color rgb="FFF08D5B"/>
      </dataBar>
    </cfRule>
  </conditionalFormatting>
  <conditionalFormatting sqref="H306:H313">
    <cfRule type="dataBar" priority="1938">
      <dataBar>
        <cfvo type="min"/>
        <cfvo type="max"/>
        <color rgb="FFF08D5B"/>
      </dataBar>
    </cfRule>
  </conditionalFormatting>
  <conditionalFormatting sqref="J6:J8">
    <cfRule type="dataBar" priority="7">
      <dataBar>
        <cfvo type="min"/>
        <cfvo type="max"/>
        <color rgb="FF628DC4"/>
      </dataBar>
    </cfRule>
  </conditionalFormatting>
  <conditionalFormatting sqref="J14:J16">
    <cfRule type="dataBar" priority="76">
      <dataBar>
        <cfvo type="min"/>
        <cfvo type="max"/>
        <color rgb="FF628DC4"/>
      </dataBar>
    </cfRule>
  </conditionalFormatting>
  <conditionalFormatting sqref="J22:J24">
    <cfRule type="dataBar" priority="145">
      <dataBar>
        <cfvo type="min"/>
        <cfvo type="max"/>
        <color rgb="FF628DC4"/>
      </dataBar>
    </cfRule>
  </conditionalFormatting>
  <conditionalFormatting sqref="J30:J36">
    <cfRule type="dataBar" priority="214">
      <dataBar>
        <cfvo type="min"/>
        <cfvo type="max"/>
        <color rgb="FF628DC4"/>
      </dataBar>
    </cfRule>
  </conditionalFormatting>
  <conditionalFormatting sqref="J42:J49">
    <cfRule type="dataBar" priority="283">
      <dataBar>
        <cfvo type="min"/>
        <cfvo type="max"/>
        <color rgb="FF628DC4"/>
      </dataBar>
    </cfRule>
  </conditionalFormatting>
  <conditionalFormatting sqref="J55:J58">
    <cfRule type="dataBar" priority="352">
      <dataBar>
        <cfvo type="min"/>
        <cfvo type="max"/>
        <color rgb="FF628DC4"/>
      </dataBar>
    </cfRule>
  </conditionalFormatting>
  <conditionalFormatting sqref="J64:J66">
    <cfRule type="dataBar" priority="421">
      <dataBar>
        <cfvo type="min"/>
        <cfvo type="max"/>
        <color rgb="FF628DC4"/>
      </dataBar>
    </cfRule>
  </conditionalFormatting>
  <conditionalFormatting sqref="J72:J78">
    <cfRule type="dataBar" priority="490">
      <dataBar>
        <cfvo type="min"/>
        <cfvo type="max"/>
        <color rgb="FF628DC4"/>
      </dataBar>
    </cfRule>
  </conditionalFormatting>
  <conditionalFormatting sqref="J84:J91">
    <cfRule type="dataBar" priority="559">
      <dataBar>
        <cfvo type="min"/>
        <cfvo type="max"/>
        <color rgb="FF628DC4"/>
      </dataBar>
    </cfRule>
  </conditionalFormatting>
  <conditionalFormatting sqref="J97:J100">
    <cfRule type="dataBar" priority="628">
      <dataBar>
        <cfvo type="min"/>
        <cfvo type="max"/>
        <color rgb="FF628DC4"/>
      </dataBar>
    </cfRule>
  </conditionalFormatting>
  <conditionalFormatting sqref="J106:J108">
    <cfRule type="dataBar" priority="697">
      <dataBar>
        <cfvo type="min"/>
        <cfvo type="max"/>
        <color rgb="FF628DC4"/>
      </dataBar>
    </cfRule>
  </conditionalFormatting>
  <conditionalFormatting sqref="J114:J120">
    <cfRule type="dataBar" priority="766">
      <dataBar>
        <cfvo type="min"/>
        <cfvo type="max"/>
        <color rgb="FF628DC4"/>
      </dataBar>
    </cfRule>
  </conditionalFormatting>
  <conditionalFormatting sqref="J126:J133">
    <cfRule type="dataBar" priority="835">
      <dataBar>
        <cfvo type="min"/>
        <cfvo type="max"/>
        <color rgb="FF628DC4"/>
      </dataBar>
    </cfRule>
  </conditionalFormatting>
  <conditionalFormatting sqref="J139:J142">
    <cfRule type="dataBar" priority="904">
      <dataBar>
        <cfvo type="min"/>
        <cfvo type="max"/>
        <color rgb="FF628DC4"/>
      </dataBar>
    </cfRule>
  </conditionalFormatting>
  <conditionalFormatting sqref="J148:J150">
    <cfRule type="dataBar" priority="973">
      <dataBar>
        <cfvo type="min"/>
        <cfvo type="max"/>
        <color rgb="FF628DC4"/>
      </dataBar>
    </cfRule>
  </conditionalFormatting>
  <conditionalFormatting sqref="J156:J162">
    <cfRule type="dataBar" priority="1042">
      <dataBar>
        <cfvo type="min"/>
        <cfvo type="max"/>
        <color rgb="FF628DC4"/>
      </dataBar>
    </cfRule>
  </conditionalFormatting>
  <conditionalFormatting sqref="J168:J175">
    <cfRule type="dataBar" priority="1111">
      <dataBar>
        <cfvo type="min"/>
        <cfvo type="max"/>
        <color rgb="FF628DC4"/>
      </dataBar>
    </cfRule>
  </conditionalFormatting>
  <conditionalFormatting sqref="J181:J184">
    <cfRule type="dataBar" priority="1180">
      <dataBar>
        <cfvo type="min"/>
        <cfvo type="max"/>
        <color rgb="FF628DC4"/>
      </dataBar>
    </cfRule>
  </conditionalFormatting>
  <conditionalFormatting sqref="J190:J192">
    <cfRule type="dataBar" priority="1249">
      <dataBar>
        <cfvo type="min"/>
        <cfvo type="max"/>
        <color rgb="FF628DC4"/>
      </dataBar>
    </cfRule>
  </conditionalFormatting>
  <conditionalFormatting sqref="J198:J204">
    <cfRule type="dataBar" priority="1318">
      <dataBar>
        <cfvo type="min"/>
        <cfvo type="max"/>
        <color rgb="FF628DC4"/>
      </dataBar>
    </cfRule>
  </conditionalFormatting>
  <conditionalFormatting sqref="J210:J212">
    <cfRule type="dataBar" priority="1387">
      <dataBar>
        <cfvo type="min"/>
        <cfvo type="max"/>
        <color rgb="FF628DC4"/>
      </dataBar>
    </cfRule>
  </conditionalFormatting>
  <conditionalFormatting sqref="J218:J226">
    <cfRule type="dataBar" priority="1456">
      <dataBar>
        <cfvo type="min"/>
        <cfvo type="max"/>
        <color rgb="FF628DC4"/>
      </dataBar>
    </cfRule>
  </conditionalFormatting>
  <conditionalFormatting sqref="J232:J240">
    <cfRule type="dataBar" priority="1525">
      <dataBar>
        <cfvo type="min"/>
        <cfvo type="max"/>
        <color rgb="FF628DC4"/>
      </dataBar>
    </cfRule>
  </conditionalFormatting>
  <conditionalFormatting sqref="J246:J254">
    <cfRule type="dataBar" priority="1594">
      <dataBar>
        <cfvo type="min"/>
        <cfvo type="max"/>
        <color rgb="FF628DC4"/>
      </dataBar>
    </cfRule>
  </conditionalFormatting>
  <conditionalFormatting sqref="J260:J268">
    <cfRule type="dataBar" priority="1663">
      <dataBar>
        <cfvo type="min"/>
        <cfvo type="max"/>
        <color rgb="FF628DC4"/>
      </dataBar>
    </cfRule>
  </conditionalFormatting>
  <conditionalFormatting sqref="J274:J276">
    <cfRule type="dataBar" priority="1732">
      <dataBar>
        <cfvo type="min"/>
        <cfvo type="max"/>
        <color rgb="FF628DC4"/>
      </dataBar>
    </cfRule>
  </conditionalFormatting>
  <conditionalFormatting sqref="J282:J287">
    <cfRule type="dataBar" priority="1801">
      <dataBar>
        <cfvo type="min"/>
        <cfvo type="max"/>
        <color rgb="FF628DC4"/>
      </dataBar>
    </cfRule>
  </conditionalFormatting>
  <conditionalFormatting sqref="J293:J300">
    <cfRule type="dataBar" priority="1870">
      <dataBar>
        <cfvo type="min"/>
        <cfvo type="max"/>
        <color rgb="FF628DC4"/>
      </dataBar>
    </cfRule>
  </conditionalFormatting>
  <conditionalFormatting sqref="J306:J313">
    <cfRule type="dataBar" priority="1939">
      <dataBar>
        <cfvo type="min"/>
        <cfvo type="max"/>
        <color rgb="FF628DC4"/>
      </dataBar>
    </cfRule>
  </conditionalFormatting>
  <conditionalFormatting sqref="K6:K8">
    <cfRule type="dataBar" priority="8">
      <dataBar>
        <cfvo type="min"/>
        <cfvo type="max"/>
        <color rgb="FFFFB628"/>
      </dataBar>
    </cfRule>
  </conditionalFormatting>
  <conditionalFormatting sqref="K14:K16">
    <cfRule type="dataBar" priority="77">
      <dataBar>
        <cfvo type="min"/>
        <cfvo type="max"/>
        <color rgb="FFFFB628"/>
      </dataBar>
    </cfRule>
  </conditionalFormatting>
  <conditionalFormatting sqref="K22:K24">
    <cfRule type="dataBar" priority="146">
      <dataBar>
        <cfvo type="min"/>
        <cfvo type="max"/>
        <color rgb="FFFFB628"/>
      </dataBar>
    </cfRule>
  </conditionalFormatting>
  <conditionalFormatting sqref="K30:K36">
    <cfRule type="dataBar" priority="215">
      <dataBar>
        <cfvo type="min"/>
        <cfvo type="max"/>
        <color rgb="FFFFB628"/>
      </dataBar>
    </cfRule>
  </conditionalFormatting>
  <conditionalFormatting sqref="K42:K49">
    <cfRule type="dataBar" priority="284">
      <dataBar>
        <cfvo type="min"/>
        <cfvo type="max"/>
        <color rgb="FFFFB628"/>
      </dataBar>
    </cfRule>
  </conditionalFormatting>
  <conditionalFormatting sqref="K55:K58">
    <cfRule type="dataBar" priority="353">
      <dataBar>
        <cfvo type="min"/>
        <cfvo type="max"/>
        <color rgb="FFFFB628"/>
      </dataBar>
    </cfRule>
  </conditionalFormatting>
  <conditionalFormatting sqref="K64:K66">
    <cfRule type="dataBar" priority="422">
      <dataBar>
        <cfvo type="min"/>
        <cfvo type="max"/>
        <color rgb="FFFFB628"/>
      </dataBar>
    </cfRule>
  </conditionalFormatting>
  <conditionalFormatting sqref="K72:K78">
    <cfRule type="dataBar" priority="491">
      <dataBar>
        <cfvo type="min"/>
        <cfvo type="max"/>
        <color rgb="FFFFB628"/>
      </dataBar>
    </cfRule>
  </conditionalFormatting>
  <conditionalFormatting sqref="K84:K91">
    <cfRule type="dataBar" priority="560">
      <dataBar>
        <cfvo type="min"/>
        <cfvo type="max"/>
        <color rgb="FFFFB628"/>
      </dataBar>
    </cfRule>
  </conditionalFormatting>
  <conditionalFormatting sqref="K97:K100">
    <cfRule type="dataBar" priority="629">
      <dataBar>
        <cfvo type="min"/>
        <cfvo type="max"/>
        <color rgb="FFFFB628"/>
      </dataBar>
    </cfRule>
  </conditionalFormatting>
  <conditionalFormatting sqref="K106:K108">
    <cfRule type="dataBar" priority="698">
      <dataBar>
        <cfvo type="min"/>
        <cfvo type="max"/>
        <color rgb="FFFFB628"/>
      </dataBar>
    </cfRule>
  </conditionalFormatting>
  <conditionalFormatting sqref="K114:K120">
    <cfRule type="dataBar" priority="767">
      <dataBar>
        <cfvo type="min"/>
        <cfvo type="max"/>
        <color rgb="FFFFB628"/>
      </dataBar>
    </cfRule>
  </conditionalFormatting>
  <conditionalFormatting sqref="K126:K133">
    <cfRule type="dataBar" priority="836">
      <dataBar>
        <cfvo type="min"/>
        <cfvo type="max"/>
        <color rgb="FFFFB628"/>
      </dataBar>
    </cfRule>
  </conditionalFormatting>
  <conditionalFormatting sqref="K139:K142">
    <cfRule type="dataBar" priority="905">
      <dataBar>
        <cfvo type="min"/>
        <cfvo type="max"/>
        <color rgb="FFFFB628"/>
      </dataBar>
    </cfRule>
  </conditionalFormatting>
  <conditionalFormatting sqref="K148:K150">
    <cfRule type="dataBar" priority="974">
      <dataBar>
        <cfvo type="min"/>
        <cfvo type="max"/>
        <color rgb="FFFFB628"/>
      </dataBar>
    </cfRule>
  </conditionalFormatting>
  <conditionalFormatting sqref="K156:K162">
    <cfRule type="dataBar" priority="1043">
      <dataBar>
        <cfvo type="min"/>
        <cfvo type="max"/>
        <color rgb="FFFFB628"/>
      </dataBar>
    </cfRule>
  </conditionalFormatting>
  <conditionalFormatting sqref="K168:K175">
    <cfRule type="dataBar" priority="1112">
      <dataBar>
        <cfvo type="min"/>
        <cfvo type="max"/>
        <color rgb="FFFFB628"/>
      </dataBar>
    </cfRule>
  </conditionalFormatting>
  <conditionalFormatting sqref="K181:K184">
    <cfRule type="dataBar" priority="1181">
      <dataBar>
        <cfvo type="min"/>
        <cfvo type="max"/>
        <color rgb="FFFFB628"/>
      </dataBar>
    </cfRule>
  </conditionalFormatting>
  <conditionalFormatting sqref="K190:K192">
    <cfRule type="dataBar" priority="1250">
      <dataBar>
        <cfvo type="min"/>
        <cfvo type="max"/>
        <color rgb="FFFFB628"/>
      </dataBar>
    </cfRule>
  </conditionalFormatting>
  <conditionalFormatting sqref="K198:K204">
    <cfRule type="dataBar" priority="1319">
      <dataBar>
        <cfvo type="min"/>
        <cfvo type="max"/>
        <color rgb="FFFFB628"/>
      </dataBar>
    </cfRule>
  </conditionalFormatting>
  <conditionalFormatting sqref="K210:K212">
    <cfRule type="dataBar" priority="1388">
      <dataBar>
        <cfvo type="min"/>
        <cfvo type="max"/>
        <color rgb="FFFFB628"/>
      </dataBar>
    </cfRule>
  </conditionalFormatting>
  <conditionalFormatting sqref="K218:K226">
    <cfRule type="dataBar" priority="1457">
      <dataBar>
        <cfvo type="min"/>
        <cfvo type="max"/>
        <color rgb="FFFFB628"/>
      </dataBar>
    </cfRule>
  </conditionalFormatting>
  <conditionalFormatting sqref="K232:K240">
    <cfRule type="dataBar" priority="1526">
      <dataBar>
        <cfvo type="min"/>
        <cfvo type="max"/>
        <color rgb="FFFFB628"/>
      </dataBar>
    </cfRule>
  </conditionalFormatting>
  <conditionalFormatting sqref="K246:K254">
    <cfRule type="dataBar" priority="1595">
      <dataBar>
        <cfvo type="min"/>
        <cfvo type="max"/>
        <color rgb="FFFFB628"/>
      </dataBar>
    </cfRule>
  </conditionalFormatting>
  <conditionalFormatting sqref="K260:K268">
    <cfRule type="dataBar" priority="1664">
      <dataBar>
        <cfvo type="min"/>
        <cfvo type="max"/>
        <color rgb="FFFFB628"/>
      </dataBar>
    </cfRule>
  </conditionalFormatting>
  <conditionalFormatting sqref="K274:K276">
    <cfRule type="dataBar" priority="1733">
      <dataBar>
        <cfvo type="min"/>
        <cfvo type="max"/>
        <color rgb="FFFFB628"/>
      </dataBar>
    </cfRule>
  </conditionalFormatting>
  <conditionalFormatting sqref="K282:K287">
    <cfRule type="dataBar" priority="1802">
      <dataBar>
        <cfvo type="min"/>
        <cfvo type="max"/>
        <color rgb="FFFFB628"/>
      </dataBar>
    </cfRule>
  </conditionalFormatting>
  <conditionalFormatting sqref="K293:K300">
    <cfRule type="dataBar" priority="1871">
      <dataBar>
        <cfvo type="min"/>
        <cfvo type="max"/>
        <color rgb="FFFFB628"/>
      </dataBar>
    </cfRule>
  </conditionalFormatting>
  <conditionalFormatting sqref="K306:K313">
    <cfRule type="dataBar" priority="1940">
      <dataBar>
        <cfvo type="min"/>
        <cfvo type="max"/>
        <color rgb="FFFFB628"/>
      </dataBar>
    </cfRule>
  </conditionalFormatting>
  <conditionalFormatting sqref="L6:L8">
    <cfRule type="dataBar" priority="9">
      <dataBar>
        <cfvo type="min"/>
        <cfvo type="max"/>
        <color rgb="FFF08D5B"/>
      </dataBar>
    </cfRule>
  </conditionalFormatting>
  <conditionalFormatting sqref="L14:L16">
    <cfRule type="dataBar" priority="78">
      <dataBar>
        <cfvo type="min"/>
        <cfvo type="max"/>
        <color rgb="FFF08D5B"/>
      </dataBar>
    </cfRule>
  </conditionalFormatting>
  <conditionalFormatting sqref="L22:L24">
    <cfRule type="dataBar" priority="147">
      <dataBar>
        <cfvo type="min"/>
        <cfvo type="max"/>
        <color rgb="FFF08D5B"/>
      </dataBar>
    </cfRule>
  </conditionalFormatting>
  <conditionalFormatting sqref="L30:L36">
    <cfRule type="dataBar" priority="216">
      <dataBar>
        <cfvo type="min"/>
        <cfvo type="max"/>
        <color rgb="FFF08D5B"/>
      </dataBar>
    </cfRule>
  </conditionalFormatting>
  <conditionalFormatting sqref="L42:L49">
    <cfRule type="dataBar" priority="285">
      <dataBar>
        <cfvo type="min"/>
        <cfvo type="max"/>
        <color rgb="FFF08D5B"/>
      </dataBar>
    </cfRule>
  </conditionalFormatting>
  <conditionalFormatting sqref="L55:L58">
    <cfRule type="dataBar" priority="354">
      <dataBar>
        <cfvo type="min"/>
        <cfvo type="max"/>
        <color rgb="FFF08D5B"/>
      </dataBar>
    </cfRule>
  </conditionalFormatting>
  <conditionalFormatting sqref="L64:L66">
    <cfRule type="dataBar" priority="423">
      <dataBar>
        <cfvo type="min"/>
        <cfvo type="max"/>
        <color rgb="FFF08D5B"/>
      </dataBar>
    </cfRule>
  </conditionalFormatting>
  <conditionalFormatting sqref="L72:L78">
    <cfRule type="dataBar" priority="492">
      <dataBar>
        <cfvo type="min"/>
        <cfvo type="max"/>
        <color rgb="FFF08D5B"/>
      </dataBar>
    </cfRule>
  </conditionalFormatting>
  <conditionalFormatting sqref="L84:L91">
    <cfRule type="dataBar" priority="561">
      <dataBar>
        <cfvo type="min"/>
        <cfvo type="max"/>
        <color rgb="FFF08D5B"/>
      </dataBar>
    </cfRule>
  </conditionalFormatting>
  <conditionalFormatting sqref="L97:L100">
    <cfRule type="dataBar" priority="630">
      <dataBar>
        <cfvo type="min"/>
        <cfvo type="max"/>
        <color rgb="FFF08D5B"/>
      </dataBar>
    </cfRule>
  </conditionalFormatting>
  <conditionalFormatting sqref="L106:L108">
    <cfRule type="dataBar" priority="699">
      <dataBar>
        <cfvo type="min"/>
        <cfvo type="max"/>
        <color rgb="FFF08D5B"/>
      </dataBar>
    </cfRule>
  </conditionalFormatting>
  <conditionalFormatting sqref="L114:L120">
    <cfRule type="dataBar" priority="768">
      <dataBar>
        <cfvo type="min"/>
        <cfvo type="max"/>
        <color rgb="FFF08D5B"/>
      </dataBar>
    </cfRule>
  </conditionalFormatting>
  <conditionalFormatting sqref="L126:L133">
    <cfRule type="dataBar" priority="837">
      <dataBar>
        <cfvo type="min"/>
        <cfvo type="max"/>
        <color rgb="FFF08D5B"/>
      </dataBar>
    </cfRule>
  </conditionalFormatting>
  <conditionalFormatting sqref="L139:L142">
    <cfRule type="dataBar" priority="906">
      <dataBar>
        <cfvo type="min"/>
        <cfvo type="max"/>
        <color rgb="FFF08D5B"/>
      </dataBar>
    </cfRule>
  </conditionalFormatting>
  <conditionalFormatting sqref="L148:L150">
    <cfRule type="dataBar" priority="975">
      <dataBar>
        <cfvo type="min"/>
        <cfvo type="max"/>
        <color rgb="FFF08D5B"/>
      </dataBar>
    </cfRule>
  </conditionalFormatting>
  <conditionalFormatting sqref="L156:L162">
    <cfRule type="dataBar" priority="1044">
      <dataBar>
        <cfvo type="min"/>
        <cfvo type="max"/>
        <color rgb="FFF08D5B"/>
      </dataBar>
    </cfRule>
  </conditionalFormatting>
  <conditionalFormatting sqref="L168:L175">
    <cfRule type="dataBar" priority="1113">
      <dataBar>
        <cfvo type="min"/>
        <cfvo type="max"/>
        <color rgb="FFF08D5B"/>
      </dataBar>
    </cfRule>
  </conditionalFormatting>
  <conditionalFormatting sqref="L181:L184">
    <cfRule type="dataBar" priority="1182">
      <dataBar>
        <cfvo type="min"/>
        <cfvo type="max"/>
        <color rgb="FFF08D5B"/>
      </dataBar>
    </cfRule>
  </conditionalFormatting>
  <conditionalFormatting sqref="L190:L192">
    <cfRule type="dataBar" priority="1251">
      <dataBar>
        <cfvo type="min"/>
        <cfvo type="max"/>
        <color rgb="FFF08D5B"/>
      </dataBar>
    </cfRule>
  </conditionalFormatting>
  <conditionalFormatting sqref="L198:L204">
    <cfRule type="dataBar" priority="1320">
      <dataBar>
        <cfvo type="min"/>
        <cfvo type="max"/>
        <color rgb="FFF08D5B"/>
      </dataBar>
    </cfRule>
  </conditionalFormatting>
  <conditionalFormatting sqref="L210:L212">
    <cfRule type="dataBar" priority="1389">
      <dataBar>
        <cfvo type="min"/>
        <cfvo type="max"/>
        <color rgb="FFF08D5B"/>
      </dataBar>
    </cfRule>
  </conditionalFormatting>
  <conditionalFormatting sqref="L218:L226">
    <cfRule type="dataBar" priority="1458">
      <dataBar>
        <cfvo type="min"/>
        <cfvo type="max"/>
        <color rgb="FFF08D5B"/>
      </dataBar>
    </cfRule>
  </conditionalFormatting>
  <conditionalFormatting sqref="L232:L240">
    <cfRule type="dataBar" priority="1527">
      <dataBar>
        <cfvo type="min"/>
        <cfvo type="max"/>
        <color rgb="FFF08D5B"/>
      </dataBar>
    </cfRule>
  </conditionalFormatting>
  <conditionalFormatting sqref="L246:L254">
    <cfRule type="dataBar" priority="1596">
      <dataBar>
        <cfvo type="min"/>
        <cfvo type="max"/>
        <color rgb="FFF08D5B"/>
      </dataBar>
    </cfRule>
  </conditionalFormatting>
  <conditionalFormatting sqref="L260:L268">
    <cfRule type="dataBar" priority="1665">
      <dataBar>
        <cfvo type="min"/>
        <cfvo type="max"/>
        <color rgb="FFF08D5B"/>
      </dataBar>
    </cfRule>
  </conditionalFormatting>
  <conditionalFormatting sqref="L274:L276">
    <cfRule type="dataBar" priority="1734">
      <dataBar>
        <cfvo type="min"/>
        <cfvo type="max"/>
        <color rgb="FFF08D5B"/>
      </dataBar>
    </cfRule>
  </conditionalFormatting>
  <conditionalFormatting sqref="L282:L287">
    <cfRule type="dataBar" priority="1803">
      <dataBar>
        <cfvo type="min"/>
        <cfvo type="max"/>
        <color rgb="FFF08D5B"/>
      </dataBar>
    </cfRule>
  </conditionalFormatting>
  <conditionalFormatting sqref="L293:L300">
    <cfRule type="dataBar" priority="1872">
      <dataBar>
        <cfvo type="min"/>
        <cfvo type="max"/>
        <color rgb="FFF08D5B"/>
      </dataBar>
    </cfRule>
  </conditionalFormatting>
  <conditionalFormatting sqref="L306:L313">
    <cfRule type="dataBar" priority="1941">
      <dataBar>
        <cfvo type="min"/>
        <cfvo type="max"/>
        <color rgb="FFF08D5B"/>
      </dataBar>
    </cfRule>
  </conditionalFormatting>
  <conditionalFormatting sqref="N6:N8">
    <cfRule type="dataBar" priority="10">
      <dataBar>
        <cfvo type="min"/>
        <cfvo type="max"/>
        <color rgb="FF628DC4"/>
      </dataBar>
    </cfRule>
  </conditionalFormatting>
  <conditionalFormatting sqref="N14:N16">
    <cfRule type="dataBar" priority="79">
      <dataBar>
        <cfvo type="min"/>
        <cfvo type="max"/>
        <color rgb="FF628DC4"/>
      </dataBar>
    </cfRule>
  </conditionalFormatting>
  <conditionalFormatting sqref="N22:N24">
    <cfRule type="dataBar" priority="148">
      <dataBar>
        <cfvo type="min"/>
        <cfvo type="max"/>
        <color rgb="FF628DC4"/>
      </dataBar>
    </cfRule>
  </conditionalFormatting>
  <conditionalFormatting sqref="N30:N36">
    <cfRule type="dataBar" priority="217">
      <dataBar>
        <cfvo type="min"/>
        <cfvo type="max"/>
        <color rgb="FF628DC4"/>
      </dataBar>
    </cfRule>
  </conditionalFormatting>
  <conditionalFormatting sqref="N42:N49">
    <cfRule type="dataBar" priority="286">
      <dataBar>
        <cfvo type="min"/>
        <cfvo type="max"/>
        <color rgb="FF628DC4"/>
      </dataBar>
    </cfRule>
  </conditionalFormatting>
  <conditionalFormatting sqref="N55:N58">
    <cfRule type="dataBar" priority="355">
      <dataBar>
        <cfvo type="min"/>
        <cfvo type="max"/>
        <color rgb="FF628DC4"/>
      </dataBar>
    </cfRule>
  </conditionalFormatting>
  <conditionalFormatting sqref="N64:N66">
    <cfRule type="dataBar" priority="424">
      <dataBar>
        <cfvo type="min"/>
        <cfvo type="max"/>
        <color rgb="FF628DC4"/>
      </dataBar>
    </cfRule>
  </conditionalFormatting>
  <conditionalFormatting sqref="N72:N78">
    <cfRule type="dataBar" priority="493">
      <dataBar>
        <cfvo type="min"/>
        <cfvo type="max"/>
        <color rgb="FF628DC4"/>
      </dataBar>
    </cfRule>
  </conditionalFormatting>
  <conditionalFormatting sqref="N84:N91">
    <cfRule type="dataBar" priority="562">
      <dataBar>
        <cfvo type="min"/>
        <cfvo type="max"/>
        <color rgb="FF628DC4"/>
      </dataBar>
    </cfRule>
  </conditionalFormatting>
  <conditionalFormatting sqref="N97:N100">
    <cfRule type="dataBar" priority="631">
      <dataBar>
        <cfvo type="min"/>
        <cfvo type="max"/>
        <color rgb="FF628DC4"/>
      </dataBar>
    </cfRule>
  </conditionalFormatting>
  <conditionalFormatting sqref="N106:N108">
    <cfRule type="dataBar" priority="700">
      <dataBar>
        <cfvo type="min"/>
        <cfvo type="max"/>
        <color rgb="FF628DC4"/>
      </dataBar>
    </cfRule>
  </conditionalFormatting>
  <conditionalFormatting sqref="N114:N120">
    <cfRule type="dataBar" priority="769">
      <dataBar>
        <cfvo type="min"/>
        <cfvo type="max"/>
        <color rgb="FF628DC4"/>
      </dataBar>
    </cfRule>
  </conditionalFormatting>
  <conditionalFormatting sqref="N126:N133">
    <cfRule type="dataBar" priority="838">
      <dataBar>
        <cfvo type="min"/>
        <cfvo type="max"/>
        <color rgb="FF628DC4"/>
      </dataBar>
    </cfRule>
  </conditionalFormatting>
  <conditionalFormatting sqref="N139:N142">
    <cfRule type="dataBar" priority="907">
      <dataBar>
        <cfvo type="min"/>
        <cfvo type="max"/>
        <color rgb="FF628DC4"/>
      </dataBar>
    </cfRule>
  </conditionalFormatting>
  <conditionalFormatting sqref="N148:N150">
    <cfRule type="dataBar" priority="976">
      <dataBar>
        <cfvo type="min"/>
        <cfvo type="max"/>
        <color rgb="FF628DC4"/>
      </dataBar>
    </cfRule>
  </conditionalFormatting>
  <conditionalFormatting sqref="N156:N162">
    <cfRule type="dataBar" priority="1045">
      <dataBar>
        <cfvo type="min"/>
        <cfvo type="max"/>
        <color rgb="FF628DC4"/>
      </dataBar>
    </cfRule>
  </conditionalFormatting>
  <conditionalFormatting sqref="N168:N175">
    <cfRule type="dataBar" priority="1114">
      <dataBar>
        <cfvo type="min"/>
        <cfvo type="max"/>
        <color rgb="FF628DC4"/>
      </dataBar>
    </cfRule>
  </conditionalFormatting>
  <conditionalFormatting sqref="N181:N184">
    <cfRule type="dataBar" priority="1183">
      <dataBar>
        <cfvo type="min"/>
        <cfvo type="max"/>
        <color rgb="FF628DC4"/>
      </dataBar>
    </cfRule>
  </conditionalFormatting>
  <conditionalFormatting sqref="N190:N192">
    <cfRule type="dataBar" priority="1252">
      <dataBar>
        <cfvo type="min"/>
        <cfvo type="max"/>
        <color rgb="FF628DC4"/>
      </dataBar>
    </cfRule>
  </conditionalFormatting>
  <conditionalFormatting sqref="N198:N204">
    <cfRule type="dataBar" priority="1321">
      <dataBar>
        <cfvo type="min"/>
        <cfvo type="max"/>
        <color rgb="FF628DC4"/>
      </dataBar>
    </cfRule>
  </conditionalFormatting>
  <conditionalFormatting sqref="N210:N212">
    <cfRule type="dataBar" priority="1390">
      <dataBar>
        <cfvo type="min"/>
        <cfvo type="max"/>
        <color rgb="FF628DC4"/>
      </dataBar>
    </cfRule>
  </conditionalFormatting>
  <conditionalFormatting sqref="N218:N226">
    <cfRule type="dataBar" priority="1459">
      <dataBar>
        <cfvo type="min"/>
        <cfvo type="max"/>
        <color rgb="FF628DC4"/>
      </dataBar>
    </cfRule>
  </conditionalFormatting>
  <conditionalFormatting sqref="N232:N240">
    <cfRule type="dataBar" priority="1528">
      <dataBar>
        <cfvo type="min"/>
        <cfvo type="max"/>
        <color rgb="FF628DC4"/>
      </dataBar>
    </cfRule>
  </conditionalFormatting>
  <conditionalFormatting sqref="N246:N254">
    <cfRule type="dataBar" priority="1597">
      <dataBar>
        <cfvo type="min"/>
        <cfvo type="max"/>
        <color rgb="FF628DC4"/>
      </dataBar>
    </cfRule>
  </conditionalFormatting>
  <conditionalFormatting sqref="N260:N268">
    <cfRule type="dataBar" priority="1666">
      <dataBar>
        <cfvo type="min"/>
        <cfvo type="max"/>
        <color rgb="FF628DC4"/>
      </dataBar>
    </cfRule>
  </conditionalFormatting>
  <conditionalFormatting sqref="N274:N276">
    <cfRule type="dataBar" priority="1735">
      <dataBar>
        <cfvo type="min"/>
        <cfvo type="max"/>
        <color rgb="FF628DC4"/>
      </dataBar>
    </cfRule>
  </conditionalFormatting>
  <conditionalFormatting sqref="N282:N287">
    <cfRule type="dataBar" priority="1804">
      <dataBar>
        <cfvo type="min"/>
        <cfvo type="max"/>
        <color rgb="FF628DC4"/>
      </dataBar>
    </cfRule>
  </conditionalFormatting>
  <conditionalFormatting sqref="N293:N300">
    <cfRule type="dataBar" priority="1873">
      <dataBar>
        <cfvo type="min"/>
        <cfvo type="max"/>
        <color rgb="FF628DC4"/>
      </dataBar>
    </cfRule>
  </conditionalFormatting>
  <conditionalFormatting sqref="N306:N313">
    <cfRule type="dataBar" priority="1942">
      <dataBar>
        <cfvo type="min"/>
        <cfvo type="max"/>
        <color rgb="FF628DC4"/>
      </dataBar>
    </cfRule>
  </conditionalFormatting>
  <conditionalFormatting sqref="O6:O8">
    <cfRule type="dataBar" priority="11">
      <dataBar>
        <cfvo type="min"/>
        <cfvo type="max"/>
        <color rgb="FFFFB628"/>
      </dataBar>
    </cfRule>
  </conditionalFormatting>
  <conditionalFormatting sqref="O14:O16">
    <cfRule type="dataBar" priority="80">
      <dataBar>
        <cfvo type="min"/>
        <cfvo type="max"/>
        <color rgb="FFFFB628"/>
      </dataBar>
    </cfRule>
  </conditionalFormatting>
  <conditionalFormatting sqref="O22:O24">
    <cfRule type="dataBar" priority="149">
      <dataBar>
        <cfvo type="min"/>
        <cfvo type="max"/>
        <color rgb="FFFFB628"/>
      </dataBar>
    </cfRule>
  </conditionalFormatting>
  <conditionalFormatting sqref="O30:O36">
    <cfRule type="dataBar" priority="218">
      <dataBar>
        <cfvo type="min"/>
        <cfvo type="max"/>
        <color rgb="FFFFB628"/>
      </dataBar>
    </cfRule>
  </conditionalFormatting>
  <conditionalFormatting sqref="O42:O49">
    <cfRule type="dataBar" priority="287">
      <dataBar>
        <cfvo type="min"/>
        <cfvo type="max"/>
        <color rgb="FFFFB628"/>
      </dataBar>
    </cfRule>
  </conditionalFormatting>
  <conditionalFormatting sqref="O55:O58">
    <cfRule type="dataBar" priority="356">
      <dataBar>
        <cfvo type="min"/>
        <cfvo type="max"/>
        <color rgb="FFFFB628"/>
      </dataBar>
    </cfRule>
  </conditionalFormatting>
  <conditionalFormatting sqref="O64:O66">
    <cfRule type="dataBar" priority="425">
      <dataBar>
        <cfvo type="min"/>
        <cfvo type="max"/>
        <color rgb="FFFFB628"/>
      </dataBar>
    </cfRule>
  </conditionalFormatting>
  <conditionalFormatting sqref="O72:O78">
    <cfRule type="dataBar" priority="494">
      <dataBar>
        <cfvo type="min"/>
        <cfvo type="max"/>
        <color rgb="FFFFB628"/>
      </dataBar>
    </cfRule>
  </conditionalFormatting>
  <conditionalFormatting sqref="O84:O91">
    <cfRule type="dataBar" priority="563">
      <dataBar>
        <cfvo type="min"/>
        <cfvo type="max"/>
        <color rgb="FFFFB628"/>
      </dataBar>
    </cfRule>
  </conditionalFormatting>
  <conditionalFormatting sqref="O97:O100">
    <cfRule type="dataBar" priority="632">
      <dataBar>
        <cfvo type="min"/>
        <cfvo type="max"/>
        <color rgb="FFFFB628"/>
      </dataBar>
    </cfRule>
  </conditionalFormatting>
  <conditionalFormatting sqref="O106:O108">
    <cfRule type="dataBar" priority="701">
      <dataBar>
        <cfvo type="min"/>
        <cfvo type="max"/>
        <color rgb="FFFFB628"/>
      </dataBar>
    </cfRule>
  </conditionalFormatting>
  <conditionalFormatting sqref="O114:O120">
    <cfRule type="dataBar" priority="770">
      <dataBar>
        <cfvo type="min"/>
        <cfvo type="max"/>
        <color rgb="FFFFB628"/>
      </dataBar>
    </cfRule>
  </conditionalFormatting>
  <conditionalFormatting sqref="O126:O133">
    <cfRule type="dataBar" priority="839">
      <dataBar>
        <cfvo type="min"/>
        <cfvo type="max"/>
        <color rgb="FFFFB628"/>
      </dataBar>
    </cfRule>
  </conditionalFormatting>
  <conditionalFormatting sqref="O139:O142">
    <cfRule type="dataBar" priority="908">
      <dataBar>
        <cfvo type="min"/>
        <cfvo type="max"/>
        <color rgb="FFFFB628"/>
      </dataBar>
    </cfRule>
  </conditionalFormatting>
  <conditionalFormatting sqref="O148:O150">
    <cfRule type="dataBar" priority="977">
      <dataBar>
        <cfvo type="min"/>
        <cfvo type="max"/>
        <color rgb="FFFFB628"/>
      </dataBar>
    </cfRule>
  </conditionalFormatting>
  <conditionalFormatting sqref="O156:O162">
    <cfRule type="dataBar" priority="1046">
      <dataBar>
        <cfvo type="min"/>
        <cfvo type="max"/>
        <color rgb="FFFFB628"/>
      </dataBar>
    </cfRule>
  </conditionalFormatting>
  <conditionalFormatting sqref="O168:O175">
    <cfRule type="dataBar" priority="1115">
      <dataBar>
        <cfvo type="min"/>
        <cfvo type="max"/>
        <color rgb="FFFFB628"/>
      </dataBar>
    </cfRule>
  </conditionalFormatting>
  <conditionalFormatting sqref="O181:O184">
    <cfRule type="dataBar" priority="1184">
      <dataBar>
        <cfvo type="min"/>
        <cfvo type="max"/>
        <color rgb="FFFFB628"/>
      </dataBar>
    </cfRule>
  </conditionalFormatting>
  <conditionalFormatting sqref="O190:O192">
    <cfRule type="dataBar" priority="1253">
      <dataBar>
        <cfvo type="min"/>
        <cfvo type="max"/>
        <color rgb="FFFFB628"/>
      </dataBar>
    </cfRule>
  </conditionalFormatting>
  <conditionalFormatting sqref="O198:O204">
    <cfRule type="dataBar" priority="1322">
      <dataBar>
        <cfvo type="min"/>
        <cfvo type="max"/>
        <color rgb="FFFFB628"/>
      </dataBar>
    </cfRule>
  </conditionalFormatting>
  <conditionalFormatting sqref="O210:O212">
    <cfRule type="dataBar" priority="1391">
      <dataBar>
        <cfvo type="min"/>
        <cfvo type="max"/>
        <color rgb="FFFFB628"/>
      </dataBar>
    </cfRule>
  </conditionalFormatting>
  <conditionalFormatting sqref="O218:O226">
    <cfRule type="dataBar" priority="1460">
      <dataBar>
        <cfvo type="min"/>
        <cfvo type="max"/>
        <color rgb="FFFFB628"/>
      </dataBar>
    </cfRule>
  </conditionalFormatting>
  <conditionalFormatting sqref="O232:O240">
    <cfRule type="dataBar" priority="1529">
      <dataBar>
        <cfvo type="min"/>
        <cfvo type="max"/>
        <color rgb="FFFFB628"/>
      </dataBar>
    </cfRule>
  </conditionalFormatting>
  <conditionalFormatting sqref="O246:O254">
    <cfRule type="dataBar" priority="1598">
      <dataBar>
        <cfvo type="min"/>
        <cfvo type="max"/>
        <color rgb="FFFFB628"/>
      </dataBar>
    </cfRule>
  </conditionalFormatting>
  <conditionalFormatting sqref="O260:O268">
    <cfRule type="dataBar" priority="1667">
      <dataBar>
        <cfvo type="min"/>
        <cfvo type="max"/>
        <color rgb="FFFFB628"/>
      </dataBar>
    </cfRule>
  </conditionalFormatting>
  <conditionalFormatting sqref="O274:O276">
    <cfRule type="dataBar" priority="1736">
      <dataBar>
        <cfvo type="min"/>
        <cfvo type="max"/>
        <color rgb="FFFFB628"/>
      </dataBar>
    </cfRule>
  </conditionalFormatting>
  <conditionalFormatting sqref="O282:O287">
    <cfRule type="dataBar" priority="1805">
      <dataBar>
        <cfvo type="min"/>
        <cfvo type="max"/>
        <color rgb="FFFFB628"/>
      </dataBar>
    </cfRule>
  </conditionalFormatting>
  <conditionalFormatting sqref="O293:O300">
    <cfRule type="dataBar" priority="1874">
      <dataBar>
        <cfvo type="min"/>
        <cfvo type="max"/>
        <color rgb="FFFFB628"/>
      </dataBar>
    </cfRule>
  </conditionalFormatting>
  <conditionalFormatting sqref="O306:O313">
    <cfRule type="dataBar" priority="1943">
      <dataBar>
        <cfvo type="min"/>
        <cfvo type="max"/>
        <color rgb="FFFFB628"/>
      </dataBar>
    </cfRule>
  </conditionalFormatting>
  <conditionalFormatting sqref="P6:P8">
    <cfRule type="dataBar" priority="12">
      <dataBar>
        <cfvo type="min"/>
        <cfvo type="max"/>
        <color rgb="FFF08D5B"/>
      </dataBar>
    </cfRule>
  </conditionalFormatting>
  <conditionalFormatting sqref="P14:P16">
    <cfRule type="dataBar" priority="81">
      <dataBar>
        <cfvo type="min"/>
        <cfvo type="max"/>
        <color rgb="FFF08D5B"/>
      </dataBar>
    </cfRule>
  </conditionalFormatting>
  <conditionalFormatting sqref="P22:P24">
    <cfRule type="dataBar" priority="150">
      <dataBar>
        <cfvo type="min"/>
        <cfvo type="max"/>
        <color rgb="FFF08D5B"/>
      </dataBar>
    </cfRule>
  </conditionalFormatting>
  <conditionalFormatting sqref="P30:P36">
    <cfRule type="dataBar" priority="219">
      <dataBar>
        <cfvo type="min"/>
        <cfvo type="max"/>
        <color rgb="FFF08D5B"/>
      </dataBar>
    </cfRule>
  </conditionalFormatting>
  <conditionalFormatting sqref="P42:P49">
    <cfRule type="dataBar" priority="288">
      <dataBar>
        <cfvo type="min"/>
        <cfvo type="max"/>
        <color rgb="FFF08D5B"/>
      </dataBar>
    </cfRule>
  </conditionalFormatting>
  <conditionalFormatting sqref="P55:P58">
    <cfRule type="dataBar" priority="357">
      <dataBar>
        <cfvo type="min"/>
        <cfvo type="max"/>
        <color rgb="FFF08D5B"/>
      </dataBar>
    </cfRule>
  </conditionalFormatting>
  <conditionalFormatting sqref="P64:P66">
    <cfRule type="dataBar" priority="426">
      <dataBar>
        <cfvo type="min"/>
        <cfvo type="max"/>
        <color rgb="FFF08D5B"/>
      </dataBar>
    </cfRule>
  </conditionalFormatting>
  <conditionalFormatting sqref="P72:P78">
    <cfRule type="dataBar" priority="495">
      <dataBar>
        <cfvo type="min"/>
        <cfvo type="max"/>
        <color rgb="FFF08D5B"/>
      </dataBar>
    </cfRule>
  </conditionalFormatting>
  <conditionalFormatting sqref="P84:P91">
    <cfRule type="dataBar" priority="564">
      <dataBar>
        <cfvo type="min"/>
        <cfvo type="max"/>
        <color rgb="FFF08D5B"/>
      </dataBar>
    </cfRule>
  </conditionalFormatting>
  <conditionalFormatting sqref="P97:P100">
    <cfRule type="dataBar" priority="633">
      <dataBar>
        <cfvo type="min"/>
        <cfvo type="max"/>
        <color rgb="FFF08D5B"/>
      </dataBar>
    </cfRule>
  </conditionalFormatting>
  <conditionalFormatting sqref="P106:P108">
    <cfRule type="dataBar" priority="702">
      <dataBar>
        <cfvo type="min"/>
        <cfvo type="max"/>
        <color rgb="FFF08D5B"/>
      </dataBar>
    </cfRule>
  </conditionalFormatting>
  <conditionalFormatting sqref="P114:P120">
    <cfRule type="dataBar" priority="771">
      <dataBar>
        <cfvo type="min"/>
        <cfvo type="max"/>
        <color rgb="FFF08D5B"/>
      </dataBar>
    </cfRule>
  </conditionalFormatting>
  <conditionalFormatting sqref="P126:P133">
    <cfRule type="dataBar" priority="840">
      <dataBar>
        <cfvo type="min"/>
        <cfvo type="max"/>
        <color rgb="FFF08D5B"/>
      </dataBar>
    </cfRule>
  </conditionalFormatting>
  <conditionalFormatting sqref="P139:P142">
    <cfRule type="dataBar" priority="909">
      <dataBar>
        <cfvo type="min"/>
        <cfvo type="max"/>
        <color rgb="FFF08D5B"/>
      </dataBar>
    </cfRule>
  </conditionalFormatting>
  <conditionalFormatting sqref="P148:P150">
    <cfRule type="dataBar" priority="978">
      <dataBar>
        <cfvo type="min"/>
        <cfvo type="max"/>
        <color rgb="FFF08D5B"/>
      </dataBar>
    </cfRule>
  </conditionalFormatting>
  <conditionalFormatting sqref="P156:P162">
    <cfRule type="dataBar" priority="1047">
      <dataBar>
        <cfvo type="min"/>
        <cfvo type="max"/>
        <color rgb="FFF08D5B"/>
      </dataBar>
    </cfRule>
  </conditionalFormatting>
  <conditionalFormatting sqref="P168:P175">
    <cfRule type="dataBar" priority="1116">
      <dataBar>
        <cfvo type="min"/>
        <cfvo type="max"/>
        <color rgb="FFF08D5B"/>
      </dataBar>
    </cfRule>
  </conditionalFormatting>
  <conditionalFormatting sqref="P181:P184">
    <cfRule type="dataBar" priority="1185">
      <dataBar>
        <cfvo type="min"/>
        <cfvo type="max"/>
        <color rgb="FFF08D5B"/>
      </dataBar>
    </cfRule>
  </conditionalFormatting>
  <conditionalFormatting sqref="P190:P192">
    <cfRule type="dataBar" priority="1254">
      <dataBar>
        <cfvo type="min"/>
        <cfvo type="max"/>
        <color rgb="FFF08D5B"/>
      </dataBar>
    </cfRule>
  </conditionalFormatting>
  <conditionalFormatting sqref="P198:P204">
    <cfRule type="dataBar" priority="1323">
      <dataBar>
        <cfvo type="min"/>
        <cfvo type="max"/>
        <color rgb="FFF08D5B"/>
      </dataBar>
    </cfRule>
  </conditionalFormatting>
  <conditionalFormatting sqref="P210:P212">
    <cfRule type="dataBar" priority="1392">
      <dataBar>
        <cfvo type="min"/>
        <cfvo type="max"/>
        <color rgb="FFF08D5B"/>
      </dataBar>
    </cfRule>
  </conditionalFormatting>
  <conditionalFormatting sqref="P218:P226">
    <cfRule type="dataBar" priority="1461">
      <dataBar>
        <cfvo type="min"/>
        <cfvo type="max"/>
        <color rgb="FFF08D5B"/>
      </dataBar>
    </cfRule>
  </conditionalFormatting>
  <conditionalFormatting sqref="P232:P240">
    <cfRule type="dataBar" priority="1530">
      <dataBar>
        <cfvo type="min"/>
        <cfvo type="max"/>
        <color rgb="FFF08D5B"/>
      </dataBar>
    </cfRule>
  </conditionalFormatting>
  <conditionalFormatting sqref="P246:P254">
    <cfRule type="dataBar" priority="1599">
      <dataBar>
        <cfvo type="min"/>
        <cfvo type="max"/>
        <color rgb="FFF08D5B"/>
      </dataBar>
    </cfRule>
  </conditionalFormatting>
  <conditionalFormatting sqref="P260:P268">
    <cfRule type="dataBar" priority="1668">
      <dataBar>
        <cfvo type="min"/>
        <cfvo type="max"/>
        <color rgb="FFF08D5B"/>
      </dataBar>
    </cfRule>
  </conditionalFormatting>
  <conditionalFormatting sqref="P274:P276">
    <cfRule type="dataBar" priority="1737">
      <dataBar>
        <cfvo type="min"/>
        <cfvo type="max"/>
        <color rgb="FFF08D5B"/>
      </dataBar>
    </cfRule>
  </conditionalFormatting>
  <conditionalFormatting sqref="P282:P287">
    <cfRule type="dataBar" priority="1806">
      <dataBar>
        <cfvo type="min"/>
        <cfvo type="max"/>
        <color rgb="FFF08D5B"/>
      </dataBar>
    </cfRule>
  </conditionalFormatting>
  <conditionalFormatting sqref="P293:P300">
    <cfRule type="dataBar" priority="1875">
      <dataBar>
        <cfvo type="min"/>
        <cfvo type="max"/>
        <color rgb="FFF08D5B"/>
      </dataBar>
    </cfRule>
  </conditionalFormatting>
  <conditionalFormatting sqref="P306:P313">
    <cfRule type="dataBar" priority="1944">
      <dataBar>
        <cfvo type="min"/>
        <cfvo type="max"/>
        <color rgb="FFF08D5B"/>
      </dataBar>
    </cfRule>
  </conditionalFormatting>
  <conditionalFormatting sqref="R6:R8">
    <cfRule type="dataBar" priority="13">
      <dataBar>
        <cfvo type="min"/>
        <cfvo type="max"/>
        <color rgb="FF628DC4"/>
      </dataBar>
    </cfRule>
  </conditionalFormatting>
  <conditionalFormatting sqref="R14:R16">
    <cfRule type="dataBar" priority="82">
      <dataBar>
        <cfvo type="min"/>
        <cfvo type="max"/>
        <color rgb="FF628DC4"/>
      </dataBar>
    </cfRule>
  </conditionalFormatting>
  <conditionalFormatting sqref="R22:R24">
    <cfRule type="dataBar" priority="151">
      <dataBar>
        <cfvo type="min"/>
        <cfvo type="max"/>
        <color rgb="FF628DC4"/>
      </dataBar>
    </cfRule>
  </conditionalFormatting>
  <conditionalFormatting sqref="R30:R36">
    <cfRule type="dataBar" priority="220">
      <dataBar>
        <cfvo type="min"/>
        <cfvo type="max"/>
        <color rgb="FF628DC4"/>
      </dataBar>
    </cfRule>
  </conditionalFormatting>
  <conditionalFormatting sqref="R42:R49">
    <cfRule type="dataBar" priority="289">
      <dataBar>
        <cfvo type="min"/>
        <cfvo type="max"/>
        <color rgb="FF628DC4"/>
      </dataBar>
    </cfRule>
  </conditionalFormatting>
  <conditionalFormatting sqref="R55:R58">
    <cfRule type="dataBar" priority="358">
      <dataBar>
        <cfvo type="min"/>
        <cfvo type="max"/>
        <color rgb="FF628DC4"/>
      </dataBar>
    </cfRule>
  </conditionalFormatting>
  <conditionalFormatting sqref="R64:R66">
    <cfRule type="dataBar" priority="427">
      <dataBar>
        <cfvo type="min"/>
        <cfvo type="max"/>
        <color rgb="FF628DC4"/>
      </dataBar>
    </cfRule>
  </conditionalFormatting>
  <conditionalFormatting sqref="R72:R78">
    <cfRule type="dataBar" priority="496">
      <dataBar>
        <cfvo type="min"/>
        <cfvo type="max"/>
        <color rgb="FF628DC4"/>
      </dataBar>
    </cfRule>
  </conditionalFormatting>
  <conditionalFormatting sqref="R84:R91">
    <cfRule type="dataBar" priority="565">
      <dataBar>
        <cfvo type="min"/>
        <cfvo type="max"/>
        <color rgb="FF628DC4"/>
      </dataBar>
    </cfRule>
  </conditionalFormatting>
  <conditionalFormatting sqref="R97:R100">
    <cfRule type="dataBar" priority="634">
      <dataBar>
        <cfvo type="min"/>
        <cfvo type="max"/>
        <color rgb="FF628DC4"/>
      </dataBar>
    </cfRule>
  </conditionalFormatting>
  <conditionalFormatting sqref="R106:R108">
    <cfRule type="dataBar" priority="703">
      <dataBar>
        <cfvo type="min"/>
        <cfvo type="max"/>
        <color rgb="FF628DC4"/>
      </dataBar>
    </cfRule>
  </conditionalFormatting>
  <conditionalFormatting sqref="R114:R120">
    <cfRule type="dataBar" priority="772">
      <dataBar>
        <cfvo type="min"/>
        <cfvo type="max"/>
        <color rgb="FF628DC4"/>
      </dataBar>
    </cfRule>
  </conditionalFormatting>
  <conditionalFormatting sqref="R126:R133">
    <cfRule type="dataBar" priority="841">
      <dataBar>
        <cfvo type="min"/>
        <cfvo type="max"/>
        <color rgb="FF628DC4"/>
      </dataBar>
    </cfRule>
  </conditionalFormatting>
  <conditionalFormatting sqref="R139:R142">
    <cfRule type="dataBar" priority="910">
      <dataBar>
        <cfvo type="min"/>
        <cfvo type="max"/>
        <color rgb="FF628DC4"/>
      </dataBar>
    </cfRule>
  </conditionalFormatting>
  <conditionalFormatting sqref="R148:R150">
    <cfRule type="dataBar" priority="979">
      <dataBar>
        <cfvo type="min"/>
        <cfvo type="max"/>
        <color rgb="FF628DC4"/>
      </dataBar>
    </cfRule>
  </conditionalFormatting>
  <conditionalFormatting sqref="R156:R162">
    <cfRule type="dataBar" priority="1048">
      <dataBar>
        <cfvo type="min"/>
        <cfvo type="max"/>
        <color rgb="FF628DC4"/>
      </dataBar>
    </cfRule>
  </conditionalFormatting>
  <conditionalFormatting sqref="R168:R175">
    <cfRule type="dataBar" priority="1117">
      <dataBar>
        <cfvo type="min"/>
        <cfvo type="max"/>
        <color rgb="FF628DC4"/>
      </dataBar>
    </cfRule>
  </conditionalFormatting>
  <conditionalFormatting sqref="R181:R184">
    <cfRule type="dataBar" priority="1186">
      <dataBar>
        <cfvo type="min"/>
        <cfvo type="max"/>
        <color rgb="FF628DC4"/>
      </dataBar>
    </cfRule>
  </conditionalFormatting>
  <conditionalFormatting sqref="R190:R192">
    <cfRule type="dataBar" priority="1255">
      <dataBar>
        <cfvo type="min"/>
        <cfvo type="max"/>
        <color rgb="FF628DC4"/>
      </dataBar>
    </cfRule>
  </conditionalFormatting>
  <conditionalFormatting sqref="R198:R204">
    <cfRule type="dataBar" priority="1324">
      <dataBar>
        <cfvo type="min"/>
        <cfvo type="max"/>
        <color rgb="FF628DC4"/>
      </dataBar>
    </cfRule>
  </conditionalFormatting>
  <conditionalFormatting sqref="R210:R212">
    <cfRule type="dataBar" priority="1393">
      <dataBar>
        <cfvo type="min"/>
        <cfvo type="max"/>
        <color rgb="FF628DC4"/>
      </dataBar>
    </cfRule>
  </conditionalFormatting>
  <conditionalFormatting sqref="R218:R226">
    <cfRule type="dataBar" priority="1462">
      <dataBar>
        <cfvo type="min"/>
        <cfvo type="max"/>
        <color rgb="FF628DC4"/>
      </dataBar>
    </cfRule>
  </conditionalFormatting>
  <conditionalFormatting sqref="R232:R240">
    <cfRule type="dataBar" priority="1531">
      <dataBar>
        <cfvo type="min"/>
        <cfvo type="max"/>
        <color rgb="FF628DC4"/>
      </dataBar>
    </cfRule>
  </conditionalFormatting>
  <conditionalFormatting sqref="R246:R254">
    <cfRule type="dataBar" priority="1600">
      <dataBar>
        <cfvo type="min"/>
        <cfvo type="max"/>
        <color rgb="FF628DC4"/>
      </dataBar>
    </cfRule>
  </conditionalFormatting>
  <conditionalFormatting sqref="R260:R268">
    <cfRule type="dataBar" priority="1669">
      <dataBar>
        <cfvo type="min"/>
        <cfvo type="max"/>
        <color rgb="FF628DC4"/>
      </dataBar>
    </cfRule>
  </conditionalFormatting>
  <conditionalFormatting sqref="R274:R276">
    <cfRule type="dataBar" priority="1738">
      <dataBar>
        <cfvo type="min"/>
        <cfvo type="max"/>
        <color rgb="FF628DC4"/>
      </dataBar>
    </cfRule>
  </conditionalFormatting>
  <conditionalFormatting sqref="R282:R287">
    <cfRule type="dataBar" priority="1807">
      <dataBar>
        <cfvo type="min"/>
        <cfvo type="max"/>
        <color rgb="FF628DC4"/>
      </dataBar>
    </cfRule>
  </conditionalFormatting>
  <conditionalFormatting sqref="R293:R300">
    <cfRule type="dataBar" priority="1876">
      <dataBar>
        <cfvo type="min"/>
        <cfvo type="max"/>
        <color rgb="FF628DC4"/>
      </dataBar>
    </cfRule>
  </conditionalFormatting>
  <conditionalFormatting sqref="R306:R313">
    <cfRule type="dataBar" priority="1945">
      <dataBar>
        <cfvo type="min"/>
        <cfvo type="max"/>
        <color rgb="FF628DC4"/>
      </dataBar>
    </cfRule>
  </conditionalFormatting>
  <conditionalFormatting sqref="S6:S8">
    <cfRule type="dataBar" priority="14">
      <dataBar>
        <cfvo type="min"/>
        <cfvo type="max"/>
        <color rgb="FFFFB628"/>
      </dataBar>
    </cfRule>
  </conditionalFormatting>
  <conditionalFormatting sqref="S14:S16">
    <cfRule type="dataBar" priority="83">
      <dataBar>
        <cfvo type="min"/>
        <cfvo type="max"/>
        <color rgb="FFFFB628"/>
      </dataBar>
    </cfRule>
  </conditionalFormatting>
  <conditionalFormatting sqref="S22:S24">
    <cfRule type="dataBar" priority="152">
      <dataBar>
        <cfvo type="min"/>
        <cfvo type="max"/>
        <color rgb="FFFFB628"/>
      </dataBar>
    </cfRule>
  </conditionalFormatting>
  <conditionalFormatting sqref="S30:S36">
    <cfRule type="dataBar" priority="221">
      <dataBar>
        <cfvo type="min"/>
        <cfvo type="max"/>
        <color rgb="FFFFB628"/>
      </dataBar>
    </cfRule>
  </conditionalFormatting>
  <conditionalFormatting sqref="S42:S49">
    <cfRule type="dataBar" priority="290">
      <dataBar>
        <cfvo type="min"/>
        <cfvo type="max"/>
        <color rgb="FFFFB628"/>
      </dataBar>
    </cfRule>
  </conditionalFormatting>
  <conditionalFormatting sqref="S55:S58">
    <cfRule type="dataBar" priority="359">
      <dataBar>
        <cfvo type="min"/>
        <cfvo type="max"/>
        <color rgb="FFFFB628"/>
      </dataBar>
    </cfRule>
  </conditionalFormatting>
  <conditionalFormatting sqref="S64:S66">
    <cfRule type="dataBar" priority="428">
      <dataBar>
        <cfvo type="min"/>
        <cfvo type="max"/>
        <color rgb="FFFFB628"/>
      </dataBar>
    </cfRule>
  </conditionalFormatting>
  <conditionalFormatting sqref="S72:S78">
    <cfRule type="dataBar" priority="497">
      <dataBar>
        <cfvo type="min"/>
        <cfvo type="max"/>
        <color rgb="FFFFB628"/>
      </dataBar>
    </cfRule>
  </conditionalFormatting>
  <conditionalFormatting sqref="S84:S91">
    <cfRule type="dataBar" priority="566">
      <dataBar>
        <cfvo type="min"/>
        <cfvo type="max"/>
        <color rgb="FFFFB628"/>
      </dataBar>
    </cfRule>
  </conditionalFormatting>
  <conditionalFormatting sqref="S97:S100">
    <cfRule type="dataBar" priority="635">
      <dataBar>
        <cfvo type="min"/>
        <cfvo type="max"/>
        <color rgb="FFFFB628"/>
      </dataBar>
    </cfRule>
  </conditionalFormatting>
  <conditionalFormatting sqref="S106:S108">
    <cfRule type="dataBar" priority="704">
      <dataBar>
        <cfvo type="min"/>
        <cfvo type="max"/>
        <color rgb="FFFFB628"/>
      </dataBar>
    </cfRule>
  </conditionalFormatting>
  <conditionalFormatting sqref="S114:S120">
    <cfRule type="dataBar" priority="773">
      <dataBar>
        <cfvo type="min"/>
        <cfvo type="max"/>
        <color rgb="FFFFB628"/>
      </dataBar>
    </cfRule>
  </conditionalFormatting>
  <conditionalFormatting sqref="S126:S133">
    <cfRule type="dataBar" priority="842">
      <dataBar>
        <cfvo type="min"/>
        <cfvo type="max"/>
        <color rgb="FFFFB628"/>
      </dataBar>
    </cfRule>
  </conditionalFormatting>
  <conditionalFormatting sqref="S139:S142">
    <cfRule type="dataBar" priority="911">
      <dataBar>
        <cfvo type="min"/>
        <cfvo type="max"/>
        <color rgb="FFFFB628"/>
      </dataBar>
    </cfRule>
  </conditionalFormatting>
  <conditionalFormatting sqref="S148:S150">
    <cfRule type="dataBar" priority="980">
      <dataBar>
        <cfvo type="min"/>
        <cfvo type="max"/>
        <color rgb="FFFFB628"/>
      </dataBar>
    </cfRule>
  </conditionalFormatting>
  <conditionalFormatting sqref="S156:S162">
    <cfRule type="dataBar" priority="1049">
      <dataBar>
        <cfvo type="min"/>
        <cfvo type="max"/>
        <color rgb="FFFFB628"/>
      </dataBar>
    </cfRule>
  </conditionalFormatting>
  <conditionalFormatting sqref="S168:S175">
    <cfRule type="dataBar" priority="1118">
      <dataBar>
        <cfvo type="min"/>
        <cfvo type="max"/>
        <color rgb="FFFFB628"/>
      </dataBar>
    </cfRule>
  </conditionalFormatting>
  <conditionalFormatting sqref="S181:S184">
    <cfRule type="dataBar" priority="1187">
      <dataBar>
        <cfvo type="min"/>
        <cfvo type="max"/>
        <color rgb="FFFFB628"/>
      </dataBar>
    </cfRule>
  </conditionalFormatting>
  <conditionalFormatting sqref="S190:S192">
    <cfRule type="dataBar" priority="1256">
      <dataBar>
        <cfvo type="min"/>
        <cfvo type="max"/>
        <color rgb="FFFFB628"/>
      </dataBar>
    </cfRule>
  </conditionalFormatting>
  <conditionalFormatting sqref="S198:S204">
    <cfRule type="dataBar" priority="1325">
      <dataBar>
        <cfvo type="min"/>
        <cfvo type="max"/>
        <color rgb="FFFFB628"/>
      </dataBar>
    </cfRule>
  </conditionalFormatting>
  <conditionalFormatting sqref="S210:S212">
    <cfRule type="dataBar" priority="1394">
      <dataBar>
        <cfvo type="min"/>
        <cfvo type="max"/>
        <color rgb="FFFFB628"/>
      </dataBar>
    </cfRule>
  </conditionalFormatting>
  <conditionalFormatting sqref="S218:S226">
    <cfRule type="dataBar" priority="1463">
      <dataBar>
        <cfvo type="min"/>
        <cfvo type="max"/>
        <color rgb="FFFFB628"/>
      </dataBar>
    </cfRule>
  </conditionalFormatting>
  <conditionalFormatting sqref="S232:S240">
    <cfRule type="dataBar" priority="1532">
      <dataBar>
        <cfvo type="min"/>
        <cfvo type="max"/>
        <color rgb="FFFFB628"/>
      </dataBar>
    </cfRule>
  </conditionalFormatting>
  <conditionalFormatting sqref="S246:S254">
    <cfRule type="dataBar" priority="1601">
      <dataBar>
        <cfvo type="min"/>
        <cfvo type="max"/>
        <color rgb="FFFFB628"/>
      </dataBar>
    </cfRule>
  </conditionalFormatting>
  <conditionalFormatting sqref="S260:S268">
    <cfRule type="dataBar" priority="1670">
      <dataBar>
        <cfvo type="min"/>
        <cfvo type="max"/>
        <color rgb="FFFFB628"/>
      </dataBar>
    </cfRule>
  </conditionalFormatting>
  <conditionalFormatting sqref="S274:S276">
    <cfRule type="dataBar" priority="1739">
      <dataBar>
        <cfvo type="min"/>
        <cfvo type="max"/>
        <color rgb="FFFFB628"/>
      </dataBar>
    </cfRule>
  </conditionalFormatting>
  <conditionalFormatting sqref="S282:S287">
    <cfRule type="dataBar" priority="1808">
      <dataBar>
        <cfvo type="min"/>
        <cfvo type="max"/>
        <color rgb="FFFFB628"/>
      </dataBar>
    </cfRule>
  </conditionalFormatting>
  <conditionalFormatting sqref="S293:S300">
    <cfRule type="dataBar" priority="1877">
      <dataBar>
        <cfvo type="min"/>
        <cfvo type="max"/>
        <color rgb="FFFFB628"/>
      </dataBar>
    </cfRule>
  </conditionalFormatting>
  <conditionalFormatting sqref="S306:S313">
    <cfRule type="dataBar" priority="1946">
      <dataBar>
        <cfvo type="min"/>
        <cfvo type="max"/>
        <color rgb="FFFFB628"/>
      </dataBar>
    </cfRule>
  </conditionalFormatting>
  <conditionalFormatting sqref="T6:T8">
    <cfRule type="dataBar" priority="15">
      <dataBar>
        <cfvo type="min"/>
        <cfvo type="max"/>
        <color rgb="FFF08D5B"/>
      </dataBar>
    </cfRule>
  </conditionalFormatting>
  <conditionalFormatting sqref="T14:T16">
    <cfRule type="dataBar" priority="84">
      <dataBar>
        <cfvo type="min"/>
        <cfvo type="max"/>
        <color rgb="FFF08D5B"/>
      </dataBar>
    </cfRule>
  </conditionalFormatting>
  <conditionalFormatting sqref="T22:T24">
    <cfRule type="dataBar" priority="153">
      <dataBar>
        <cfvo type="min"/>
        <cfvo type="max"/>
        <color rgb="FFF08D5B"/>
      </dataBar>
    </cfRule>
  </conditionalFormatting>
  <conditionalFormatting sqref="T30:T36">
    <cfRule type="dataBar" priority="222">
      <dataBar>
        <cfvo type="min"/>
        <cfvo type="max"/>
        <color rgb="FFF08D5B"/>
      </dataBar>
    </cfRule>
  </conditionalFormatting>
  <conditionalFormatting sqref="T42:T49">
    <cfRule type="dataBar" priority="291">
      <dataBar>
        <cfvo type="min"/>
        <cfvo type="max"/>
        <color rgb="FFF08D5B"/>
      </dataBar>
    </cfRule>
  </conditionalFormatting>
  <conditionalFormatting sqref="T55:T58">
    <cfRule type="dataBar" priority="360">
      <dataBar>
        <cfvo type="min"/>
        <cfvo type="max"/>
        <color rgb="FFF08D5B"/>
      </dataBar>
    </cfRule>
  </conditionalFormatting>
  <conditionalFormatting sqref="T64:T66">
    <cfRule type="dataBar" priority="429">
      <dataBar>
        <cfvo type="min"/>
        <cfvo type="max"/>
        <color rgb="FFF08D5B"/>
      </dataBar>
    </cfRule>
  </conditionalFormatting>
  <conditionalFormatting sqref="T72:T78">
    <cfRule type="dataBar" priority="498">
      <dataBar>
        <cfvo type="min"/>
        <cfvo type="max"/>
        <color rgb="FFF08D5B"/>
      </dataBar>
    </cfRule>
  </conditionalFormatting>
  <conditionalFormatting sqref="T84:T91">
    <cfRule type="dataBar" priority="567">
      <dataBar>
        <cfvo type="min"/>
        <cfvo type="max"/>
        <color rgb="FFF08D5B"/>
      </dataBar>
    </cfRule>
  </conditionalFormatting>
  <conditionalFormatting sqref="T97:T100">
    <cfRule type="dataBar" priority="636">
      <dataBar>
        <cfvo type="min"/>
        <cfvo type="max"/>
        <color rgb="FFF08D5B"/>
      </dataBar>
    </cfRule>
  </conditionalFormatting>
  <conditionalFormatting sqref="T106:T108">
    <cfRule type="dataBar" priority="705">
      <dataBar>
        <cfvo type="min"/>
        <cfvo type="max"/>
        <color rgb="FFF08D5B"/>
      </dataBar>
    </cfRule>
  </conditionalFormatting>
  <conditionalFormatting sqref="T114:T120">
    <cfRule type="dataBar" priority="774">
      <dataBar>
        <cfvo type="min"/>
        <cfvo type="max"/>
        <color rgb="FFF08D5B"/>
      </dataBar>
    </cfRule>
  </conditionalFormatting>
  <conditionalFormatting sqref="T126:T133">
    <cfRule type="dataBar" priority="843">
      <dataBar>
        <cfvo type="min"/>
        <cfvo type="max"/>
        <color rgb="FFF08D5B"/>
      </dataBar>
    </cfRule>
  </conditionalFormatting>
  <conditionalFormatting sqref="T139:T142">
    <cfRule type="dataBar" priority="912">
      <dataBar>
        <cfvo type="min"/>
        <cfvo type="max"/>
        <color rgb="FFF08D5B"/>
      </dataBar>
    </cfRule>
  </conditionalFormatting>
  <conditionalFormatting sqref="T148:T150">
    <cfRule type="dataBar" priority="981">
      <dataBar>
        <cfvo type="min"/>
        <cfvo type="max"/>
        <color rgb="FFF08D5B"/>
      </dataBar>
    </cfRule>
  </conditionalFormatting>
  <conditionalFormatting sqref="T156:T162">
    <cfRule type="dataBar" priority="1050">
      <dataBar>
        <cfvo type="min"/>
        <cfvo type="max"/>
        <color rgb="FFF08D5B"/>
      </dataBar>
    </cfRule>
  </conditionalFormatting>
  <conditionalFormatting sqref="T168:T175">
    <cfRule type="dataBar" priority="1119">
      <dataBar>
        <cfvo type="min"/>
        <cfvo type="max"/>
        <color rgb="FFF08D5B"/>
      </dataBar>
    </cfRule>
  </conditionalFormatting>
  <conditionalFormatting sqref="T181:T184">
    <cfRule type="dataBar" priority="1188">
      <dataBar>
        <cfvo type="min"/>
        <cfvo type="max"/>
        <color rgb="FFF08D5B"/>
      </dataBar>
    </cfRule>
  </conditionalFormatting>
  <conditionalFormatting sqref="T190:T192">
    <cfRule type="dataBar" priority="1257">
      <dataBar>
        <cfvo type="min"/>
        <cfvo type="max"/>
        <color rgb="FFF08D5B"/>
      </dataBar>
    </cfRule>
  </conditionalFormatting>
  <conditionalFormatting sqref="T198:T204">
    <cfRule type="dataBar" priority="1326">
      <dataBar>
        <cfvo type="min"/>
        <cfvo type="max"/>
        <color rgb="FFF08D5B"/>
      </dataBar>
    </cfRule>
  </conditionalFormatting>
  <conditionalFormatting sqref="T210:T212">
    <cfRule type="dataBar" priority="1395">
      <dataBar>
        <cfvo type="min"/>
        <cfvo type="max"/>
        <color rgb="FFF08D5B"/>
      </dataBar>
    </cfRule>
  </conditionalFormatting>
  <conditionalFormatting sqref="T218:T226">
    <cfRule type="dataBar" priority="1464">
      <dataBar>
        <cfvo type="min"/>
        <cfvo type="max"/>
        <color rgb="FFF08D5B"/>
      </dataBar>
    </cfRule>
  </conditionalFormatting>
  <conditionalFormatting sqref="T232:T240">
    <cfRule type="dataBar" priority="1533">
      <dataBar>
        <cfvo type="min"/>
        <cfvo type="max"/>
        <color rgb="FFF08D5B"/>
      </dataBar>
    </cfRule>
  </conditionalFormatting>
  <conditionalFormatting sqref="T246:T254">
    <cfRule type="dataBar" priority="1602">
      <dataBar>
        <cfvo type="min"/>
        <cfvo type="max"/>
        <color rgb="FFF08D5B"/>
      </dataBar>
    </cfRule>
  </conditionalFormatting>
  <conditionalFormatting sqref="T260:T268">
    <cfRule type="dataBar" priority="1671">
      <dataBar>
        <cfvo type="min"/>
        <cfvo type="max"/>
        <color rgb="FFF08D5B"/>
      </dataBar>
    </cfRule>
  </conditionalFormatting>
  <conditionalFormatting sqref="T274:T276">
    <cfRule type="dataBar" priority="1740">
      <dataBar>
        <cfvo type="min"/>
        <cfvo type="max"/>
        <color rgb="FFF08D5B"/>
      </dataBar>
    </cfRule>
  </conditionalFormatting>
  <conditionalFormatting sqref="T282:T287">
    <cfRule type="dataBar" priority="1809">
      <dataBar>
        <cfvo type="min"/>
        <cfvo type="max"/>
        <color rgb="FFF08D5B"/>
      </dataBar>
    </cfRule>
  </conditionalFormatting>
  <conditionalFormatting sqref="T293:T300">
    <cfRule type="dataBar" priority="1878">
      <dataBar>
        <cfvo type="min"/>
        <cfvo type="max"/>
        <color rgb="FFF08D5B"/>
      </dataBar>
    </cfRule>
  </conditionalFormatting>
  <conditionalFormatting sqref="T306:T313">
    <cfRule type="dataBar" priority="1947">
      <dataBar>
        <cfvo type="min"/>
        <cfvo type="max"/>
        <color rgb="FFF08D5B"/>
      </dataBar>
    </cfRule>
  </conditionalFormatting>
  <conditionalFormatting sqref="V6:V8">
    <cfRule type="dataBar" priority="16">
      <dataBar>
        <cfvo type="min"/>
        <cfvo type="max"/>
        <color rgb="FF628DC4"/>
      </dataBar>
    </cfRule>
  </conditionalFormatting>
  <conditionalFormatting sqref="V14:V16">
    <cfRule type="dataBar" priority="85">
      <dataBar>
        <cfvo type="min"/>
        <cfvo type="max"/>
        <color rgb="FF628DC4"/>
      </dataBar>
    </cfRule>
  </conditionalFormatting>
  <conditionalFormatting sqref="V22:V24">
    <cfRule type="dataBar" priority="154">
      <dataBar>
        <cfvo type="min"/>
        <cfvo type="max"/>
        <color rgb="FF628DC4"/>
      </dataBar>
    </cfRule>
  </conditionalFormatting>
  <conditionalFormatting sqref="V30:V36">
    <cfRule type="dataBar" priority="223">
      <dataBar>
        <cfvo type="min"/>
        <cfvo type="max"/>
        <color rgb="FF628DC4"/>
      </dataBar>
    </cfRule>
  </conditionalFormatting>
  <conditionalFormatting sqref="V42:V49">
    <cfRule type="dataBar" priority="292">
      <dataBar>
        <cfvo type="min"/>
        <cfvo type="max"/>
        <color rgb="FF628DC4"/>
      </dataBar>
    </cfRule>
  </conditionalFormatting>
  <conditionalFormatting sqref="V55:V58">
    <cfRule type="dataBar" priority="361">
      <dataBar>
        <cfvo type="min"/>
        <cfvo type="max"/>
        <color rgb="FF628DC4"/>
      </dataBar>
    </cfRule>
  </conditionalFormatting>
  <conditionalFormatting sqref="V64:V66">
    <cfRule type="dataBar" priority="430">
      <dataBar>
        <cfvo type="min"/>
        <cfvo type="max"/>
        <color rgb="FF628DC4"/>
      </dataBar>
    </cfRule>
  </conditionalFormatting>
  <conditionalFormatting sqref="V72:V78">
    <cfRule type="dataBar" priority="499">
      <dataBar>
        <cfvo type="min"/>
        <cfvo type="max"/>
        <color rgb="FF628DC4"/>
      </dataBar>
    </cfRule>
  </conditionalFormatting>
  <conditionalFormatting sqref="V84:V91">
    <cfRule type="dataBar" priority="568">
      <dataBar>
        <cfvo type="min"/>
        <cfvo type="max"/>
        <color rgb="FF628DC4"/>
      </dataBar>
    </cfRule>
  </conditionalFormatting>
  <conditionalFormatting sqref="V97:V100">
    <cfRule type="dataBar" priority="637">
      <dataBar>
        <cfvo type="min"/>
        <cfvo type="max"/>
        <color rgb="FF628DC4"/>
      </dataBar>
    </cfRule>
  </conditionalFormatting>
  <conditionalFormatting sqref="V106:V108">
    <cfRule type="dataBar" priority="706">
      <dataBar>
        <cfvo type="min"/>
        <cfvo type="max"/>
        <color rgb="FF628DC4"/>
      </dataBar>
    </cfRule>
  </conditionalFormatting>
  <conditionalFormatting sqref="V114:V120">
    <cfRule type="dataBar" priority="775">
      <dataBar>
        <cfvo type="min"/>
        <cfvo type="max"/>
        <color rgb="FF628DC4"/>
      </dataBar>
    </cfRule>
  </conditionalFormatting>
  <conditionalFormatting sqref="V126:V133">
    <cfRule type="dataBar" priority="844">
      <dataBar>
        <cfvo type="min"/>
        <cfvo type="max"/>
        <color rgb="FF628DC4"/>
      </dataBar>
    </cfRule>
  </conditionalFormatting>
  <conditionalFormatting sqref="V139:V142">
    <cfRule type="dataBar" priority="913">
      <dataBar>
        <cfvo type="min"/>
        <cfvo type="max"/>
        <color rgb="FF628DC4"/>
      </dataBar>
    </cfRule>
  </conditionalFormatting>
  <conditionalFormatting sqref="V148:V150">
    <cfRule type="dataBar" priority="982">
      <dataBar>
        <cfvo type="min"/>
        <cfvo type="max"/>
        <color rgb="FF628DC4"/>
      </dataBar>
    </cfRule>
  </conditionalFormatting>
  <conditionalFormatting sqref="V156:V162">
    <cfRule type="dataBar" priority="1051">
      <dataBar>
        <cfvo type="min"/>
        <cfvo type="max"/>
        <color rgb="FF628DC4"/>
      </dataBar>
    </cfRule>
  </conditionalFormatting>
  <conditionalFormatting sqref="V168:V175">
    <cfRule type="dataBar" priority="1120">
      <dataBar>
        <cfvo type="min"/>
        <cfvo type="max"/>
        <color rgb="FF628DC4"/>
      </dataBar>
    </cfRule>
  </conditionalFormatting>
  <conditionalFormatting sqref="V181:V184">
    <cfRule type="dataBar" priority="1189">
      <dataBar>
        <cfvo type="min"/>
        <cfvo type="max"/>
        <color rgb="FF628DC4"/>
      </dataBar>
    </cfRule>
  </conditionalFormatting>
  <conditionalFormatting sqref="V190:V192">
    <cfRule type="dataBar" priority="1258">
      <dataBar>
        <cfvo type="min"/>
        <cfvo type="max"/>
        <color rgb="FF628DC4"/>
      </dataBar>
    </cfRule>
  </conditionalFormatting>
  <conditionalFormatting sqref="V198:V204">
    <cfRule type="dataBar" priority="1327">
      <dataBar>
        <cfvo type="min"/>
        <cfvo type="max"/>
        <color rgb="FF628DC4"/>
      </dataBar>
    </cfRule>
  </conditionalFormatting>
  <conditionalFormatting sqref="V210:V212">
    <cfRule type="dataBar" priority="1396">
      <dataBar>
        <cfvo type="min"/>
        <cfvo type="max"/>
        <color rgb="FF628DC4"/>
      </dataBar>
    </cfRule>
  </conditionalFormatting>
  <conditionalFormatting sqref="V218:V226">
    <cfRule type="dataBar" priority="1465">
      <dataBar>
        <cfvo type="min"/>
        <cfvo type="max"/>
        <color rgb="FF628DC4"/>
      </dataBar>
    </cfRule>
  </conditionalFormatting>
  <conditionalFormatting sqref="V232:V240">
    <cfRule type="dataBar" priority="1534">
      <dataBar>
        <cfvo type="min"/>
        <cfvo type="max"/>
        <color rgb="FF628DC4"/>
      </dataBar>
    </cfRule>
  </conditionalFormatting>
  <conditionalFormatting sqref="V246:V254">
    <cfRule type="dataBar" priority="1603">
      <dataBar>
        <cfvo type="min"/>
        <cfvo type="max"/>
        <color rgb="FF628DC4"/>
      </dataBar>
    </cfRule>
  </conditionalFormatting>
  <conditionalFormatting sqref="V260:V268">
    <cfRule type="dataBar" priority="1672">
      <dataBar>
        <cfvo type="min"/>
        <cfvo type="max"/>
        <color rgb="FF628DC4"/>
      </dataBar>
    </cfRule>
  </conditionalFormatting>
  <conditionalFormatting sqref="V274:V276">
    <cfRule type="dataBar" priority="1741">
      <dataBar>
        <cfvo type="min"/>
        <cfvo type="max"/>
        <color rgb="FF628DC4"/>
      </dataBar>
    </cfRule>
  </conditionalFormatting>
  <conditionalFormatting sqref="V282:V287">
    <cfRule type="dataBar" priority="1810">
      <dataBar>
        <cfvo type="min"/>
        <cfvo type="max"/>
        <color rgb="FF628DC4"/>
      </dataBar>
    </cfRule>
  </conditionalFormatting>
  <conditionalFormatting sqref="V293:V300">
    <cfRule type="dataBar" priority="1879">
      <dataBar>
        <cfvo type="min"/>
        <cfvo type="max"/>
        <color rgb="FF628DC4"/>
      </dataBar>
    </cfRule>
  </conditionalFormatting>
  <conditionalFormatting sqref="V306:V313">
    <cfRule type="dataBar" priority="1948">
      <dataBar>
        <cfvo type="min"/>
        <cfvo type="max"/>
        <color rgb="FF628DC4"/>
      </dataBar>
    </cfRule>
  </conditionalFormatting>
  <conditionalFormatting sqref="W6:W8">
    <cfRule type="dataBar" priority="17">
      <dataBar>
        <cfvo type="min"/>
        <cfvo type="max"/>
        <color rgb="FFFFB628"/>
      </dataBar>
    </cfRule>
  </conditionalFormatting>
  <conditionalFormatting sqref="W14:W16">
    <cfRule type="dataBar" priority="86">
      <dataBar>
        <cfvo type="min"/>
        <cfvo type="max"/>
        <color rgb="FFFFB628"/>
      </dataBar>
    </cfRule>
  </conditionalFormatting>
  <conditionalFormatting sqref="W22:W24">
    <cfRule type="dataBar" priority="155">
      <dataBar>
        <cfvo type="min"/>
        <cfvo type="max"/>
        <color rgb="FFFFB628"/>
      </dataBar>
    </cfRule>
  </conditionalFormatting>
  <conditionalFormatting sqref="W30:W36">
    <cfRule type="dataBar" priority="224">
      <dataBar>
        <cfvo type="min"/>
        <cfvo type="max"/>
        <color rgb="FFFFB628"/>
      </dataBar>
    </cfRule>
  </conditionalFormatting>
  <conditionalFormatting sqref="W42:W49">
    <cfRule type="dataBar" priority="293">
      <dataBar>
        <cfvo type="min"/>
        <cfvo type="max"/>
        <color rgb="FFFFB628"/>
      </dataBar>
    </cfRule>
  </conditionalFormatting>
  <conditionalFormatting sqref="W55:W58">
    <cfRule type="dataBar" priority="362">
      <dataBar>
        <cfvo type="min"/>
        <cfvo type="max"/>
        <color rgb="FFFFB628"/>
      </dataBar>
    </cfRule>
  </conditionalFormatting>
  <conditionalFormatting sqref="W64:W66">
    <cfRule type="dataBar" priority="431">
      <dataBar>
        <cfvo type="min"/>
        <cfvo type="max"/>
        <color rgb="FFFFB628"/>
      </dataBar>
    </cfRule>
  </conditionalFormatting>
  <conditionalFormatting sqref="W72:W78">
    <cfRule type="dataBar" priority="500">
      <dataBar>
        <cfvo type="min"/>
        <cfvo type="max"/>
        <color rgb="FFFFB628"/>
      </dataBar>
    </cfRule>
  </conditionalFormatting>
  <conditionalFormatting sqref="W84:W91">
    <cfRule type="dataBar" priority="569">
      <dataBar>
        <cfvo type="min"/>
        <cfvo type="max"/>
        <color rgb="FFFFB628"/>
      </dataBar>
    </cfRule>
  </conditionalFormatting>
  <conditionalFormatting sqref="W97:W100">
    <cfRule type="dataBar" priority="638">
      <dataBar>
        <cfvo type="min"/>
        <cfvo type="max"/>
        <color rgb="FFFFB628"/>
      </dataBar>
    </cfRule>
  </conditionalFormatting>
  <conditionalFormatting sqref="W106:W108">
    <cfRule type="dataBar" priority="707">
      <dataBar>
        <cfvo type="min"/>
        <cfvo type="max"/>
        <color rgb="FFFFB628"/>
      </dataBar>
    </cfRule>
  </conditionalFormatting>
  <conditionalFormatting sqref="W114:W120">
    <cfRule type="dataBar" priority="776">
      <dataBar>
        <cfvo type="min"/>
        <cfvo type="max"/>
        <color rgb="FFFFB628"/>
      </dataBar>
    </cfRule>
  </conditionalFormatting>
  <conditionalFormatting sqref="W126:W133">
    <cfRule type="dataBar" priority="845">
      <dataBar>
        <cfvo type="min"/>
        <cfvo type="max"/>
        <color rgb="FFFFB628"/>
      </dataBar>
    </cfRule>
  </conditionalFormatting>
  <conditionalFormatting sqref="W139:W142">
    <cfRule type="dataBar" priority="914">
      <dataBar>
        <cfvo type="min"/>
        <cfvo type="max"/>
        <color rgb="FFFFB628"/>
      </dataBar>
    </cfRule>
  </conditionalFormatting>
  <conditionalFormatting sqref="W148:W150">
    <cfRule type="dataBar" priority="983">
      <dataBar>
        <cfvo type="min"/>
        <cfvo type="max"/>
        <color rgb="FFFFB628"/>
      </dataBar>
    </cfRule>
  </conditionalFormatting>
  <conditionalFormatting sqref="W156:W162">
    <cfRule type="dataBar" priority="1052">
      <dataBar>
        <cfvo type="min"/>
        <cfvo type="max"/>
        <color rgb="FFFFB628"/>
      </dataBar>
    </cfRule>
  </conditionalFormatting>
  <conditionalFormatting sqref="W168:W175">
    <cfRule type="dataBar" priority="1121">
      <dataBar>
        <cfvo type="min"/>
        <cfvo type="max"/>
        <color rgb="FFFFB628"/>
      </dataBar>
    </cfRule>
  </conditionalFormatting>
  <conditionalFormatting sqref="W181:W184">
    <cfRule type="dataBar" priority="1190">
      <dataBar>
        <cfvo type="min"/>
        <cfvo type="max"/>
        <color rgb="FFFFB628"/>
      </dataBar>
    </cfRule>
  </conditionalFormatting>
  <conditionalFormatting sqref="W190:W192">
    <cfRule type="dataBar" priority="1259">
      <dataBar>
        <cfvo type="min"/>
        <cfvo type="max"/>
        <color rgb="FFFFB628"/>
      </dataBar>
    </cfRule>
  </conditionalFormatting>
  <conditionalFormatting sqref="W198:W204">
    <cfRule type="dataBar" priority="1328">
      <dataBar>
        <cfvo type="min"/>
        <cfvo type="max"/>
        <color rgb="FFFFB628"/>
      </dataBar>
    </cfRule>
  </conditionalFormatting>
  <conditionalFormatting sqref="W210:W212">
    <cfRule type="dataBar" priority="1397">
      <dataBar>
        <cfvo type="min"/>
        <cfvo type="max"/>
        <color rgb="FFFFB628"/>
      </dataBar>
    </cfRule>
  </conditionalFormatting>
  <conditionalFormatting sqref="W218:W226">
    <cfRule type="dataBar" priority="1466">
      <dataBar>
        <cfvo type="min"/>
        <cfvo type="max"/>
        <color rgb="FFFFB628"/>
      </dataBar>
    </cfRule>
  </conditionalFormatting>
  <conditionalFormatting sqref="W232:W240">
    <cfRule type="dataBar" priority="1535">
      <dataBar>
        <cfvo type="min"/>
        <cfvo type="max"/>
        <color rgb="FFFFB628"/>
      </dataBar>
    </cfRule>
  </conditionalFormatting>
  <conditionalFormatting sqref="W246:W254">
    <cfRule type="dataBar" priority="1604">
      <dataBar>
        <cfvo type="min"/>
        <cfvo type="max"/>
        <color rgb="FFFFB628"/>
      </dataBar>
    </cfRule>
  </conditionalFormatting>
  <conditionalFormatting sqref="W260:W268">
    <cfRule type="dataBar" priority="1673">
      <dataBar>
        <cfvo type="min"/>
        <cfvo type="max"/>
        <color rgb="FFFFB628"/>
      </dataBar>
    </cfRule>
  </conditionalFormatting>
  <conditionalFormatting sqref="W274:W276">
    <cfRule type="dataBar" priority="1742">
      <dataBar>
        <cfvo type="min"/>
        <cfvo type="max"/>
        <color rgb="FFFFB628"/>
      </dataBar>
    </cfRule>
  </conditionalFormatting>
  <conditionalFormatting sqref="W282:W287">
    <cfRule type="dataBar" priority="1811">
      <dataBar>
        <cfvo type="min"/>
        <cfvo type="max"/>
        <color rgb="FFFFB628"/>
      </dataBar>
    </cfRule>
  </conditionalFormatting>
  <conditionalFormatting sqref="W293:W300">
    <cfRule type="dataBar" priority="1880">
      <dataBar>
        <cfvo type="min"/>
        <cfvo type="max"/>
        <color rgb="FFFFB628"/>
      </dataBar>
    </cfRule>
  </conditionalFormatting>
  <conditionalFormatting sqref="W306:W313">
    <cfRule type="dataBar" priority="1949">
      <dataBar>
        <cfvo type="min"/>
        <cfvo type="max"/>
        <color rgb="FFFFB628"/>
      </dataBar>
    </cfRule>
  </conditionalFormatting>
  <conditionalFormatting sqref="X6:X8">
    <cfRule type="dataBar" priority="18">
      <dataBar>
        <cfvo type="min"/>
        <cfvo type="max"/>
        <color rgb="FFF08D5B"/>
      </dataBar>
    </cfRule>
  </conditionalFormatting>
  <conditionalFormatting sqref="X14:X16">
    <cfRule type="dataBar" priority="87">
      <dataBar>
        <cfvo type="min"/>
        <cfvo type="max"/>
        <color rgb="FFF08D5B"/>
      </dataBar>
    </cfRule>
  </conditionalFormatting>
  <conditionalFormatting sqref="X22:X24">
    <cfRule type="dataBar" priority="156">
      <dataBar>
        <cfvo type="min"/>
        <cfvo type="max"/>
        <color rgb="FFF08D5B"/>
      </dataBar>
    </cfRule>
  </conditionalFormatting>
  <conditionalFormatting sqref="X30:X36">
    <cfRule type="dataBar" priority="225">
      <dataBar>
        <cfvo type="min"/>
        <cfvo type="max"/>
        <color rgb="FFF08D5B"/>
      </dataBar>
    </cfRule>
  </conditionalFormatting>
  <conditionalFormatting sqref="X42:X49">
    <cfRule type="dataBar" priority="294">
      <dataBar>
        <cfvo type="min"/>
        <cfvo type="max"/>
        <color rgb="FFF08D5B"/>
      </dataBar>
    </cfRule>
  </conditionalFormatting>
  <conditionalFormatting sqref="X55:X58">
    <cfRule type="dataBar" priority="363">
      <dataBar>
        <cfvo type="min"/>
        <cfvo type="max"/>
        <color rgb="FFF08D5B"/>
      </dataBar>
    </cfRule>
  </conditionalFormatting>
  <conditionalFormatting sqref="X64:X66">
    <cfRule type="dataBar" priority="432">
      <dataBar>
        <cfvo type="min"/>
        <cfvo type="max"/>
        <color rgb="FFF08D5B"/>
      </dataBar>
    </cfRule>
  </conditionalFormatting>
  <conditionalFormatting sqref="X72:X78">
    <cfRule type="dataBar" priority="501">
      <dataBar>
        <cfvo type="min"/>
        <cfvo type="max"/>
        <color rgb="FFF08D5B"/>
      </dataBar>
    </cfRule>
  </conditionalFormatting>
  <conditionalFormatting sqref="X84:X91">
    <cfRule type="dataBar" priority="570">
      <dataBar>
        <cfvo type="min"/>
        <cfvo type="max"/>
        <color rgb="FFF08D5B"/>
      </dataBar>
    </cfRule>
  </conditionalFormatting>
  <conditionalFormatting sqref="X97:X100">
    <cfRule type="dataBar" priority="639">
      <dataBar>
        <cfvo type="min"/>
        <cfvo type="max"/>
        <color rgb="FFF08D5B"/>
      </dataBar>
    </cfRule>
  </conditionalFormatting>
  <conditionalFormatting sqref="X106:X108">
    <cfRule type="dataBar" priority="708">
      <dataBar>
        <cfvo type="min"/>
        <cfvo type="max"/>
        <color rgb="FFF08D5B"/>
      </dataBar>
    </cfRule>
  </conditionalFormatting>
  <conditionalFormatting sqref="X114:X120">
    <cfRule type="dataBar" priority="777">
      <dataBar>
        <cfvo type="min"/>
        <cfvo type="max"/>
        <color rgb="FFF08D5B"/>
      </dataBar>
    </cfRule>
  </conditionalFormatting>
  <conditionalFormatting sqref="X126:X133">
    <cfRule type="dataBar" priority="846">
      <dataBar>
        <cfvo type="min"/>
        <cfvo type="max"/>
        <color rgb="FFF08D5B"/>
      </dataBar>
    </cfRule>
  </conditionalFormatting>
  <conditionalFormatting sqref="X139:X142">
    <cfRule type="dataBar" priority="915">
      <dataBar>
        <cfvo type="min"/>
        <cfvo type="max"/>
        <color rgb="FFF08D5B"/>
      </dataBar>
    </cfRule>
  </conditionalFormatting>
  <conditionalFormatting sqref="X148:X150">
    <cfRule type="dataBar" priority="984">
      <dataBar>
        <cfvo type="min"/>
        <cfvo type="max"/>
        <color rgb="FFF08D5B"/>
      </dataBar>
    </cfRule>
  </conditionalFormatting>
  <conditionalFormatting sqref="X156:X162">
    <cfRule type="dataBar" priority="1053">
      <dataBar>
        <cfvo type="min"/>
        <cfvo type="max"/>
        <color rgb="FFF08D5B"/>
      </dataBar>
    </cfRule>
  </conditionalFormatting>
  <conditionalFormatting sqref="X168:X175">
    <cfRule type="dataBar" priority="1122">
      <dataBar>
        <cfvo type="min"/>
        <cfvo type="max"/>
        <color rgb="FFF08D5B"/>
      </dataBar>
    </cfRule>
  </conditionalFormatting>
  <conditionalFormatting sqref="X181:X184">
    <cfRule type="dataBar" priority="1191">
      <dataBar>
        <cfvo type="min"/>
        <cfvo type="max"/>
        <color rgb="FFF08D5B"/>
      </dataBar>
    </cfRule>
  </conditionalFormatting>
  <conditionalFormatting sqref="X190:X192">
    <cfRule type="dataBar" priority="1260">
      <dataBar>
        <cfvo type="min"/>
        <cfvo type="max"/>
        <color rgb="FFF08D5B"/>
      </dataBar>
    </cfRule>
  </conditionalFormatting>
  <conditionalFormatting sqref="X198:X204">
    <cfRule type="dataBar" priority="1329">
      <dataBar>
        <cfvo type="min"/>
        <cfvo type="max"/>
        <color rgb="FFF08D5B"/>
      </dataBar>
    </cfRule>
  </conditionalFormatting>
  <conditionalFormatting sqref="X210:X212">
    <cfRule type="dataBar" priority="1398">
      <dataBar>
        <cfvo type="min"/>
        <cfvo type="max"/>
        <color rgb="FFF08D5B"/>
      </dataBar>
    </cfRule>
  </conditionalFormatting>
  <conditionalFormatting sqref="X218:X226">
    <cfRule type="dataBar" priority="1467">
      <dataBar>
        <cfvo type="min"/>
        <cfvo type="max"/>
        <color rgb="FFF08D5B"/>
      </dataBar>
    </cfRule>
  </conditionalFormatting>
  <conditionalFormatting sqref="X232:X240">
    <cfRule type="dataBar" priority="1536">
      <dataBar>
        <cfvo type="min"/>
        <cfvo type="max"/>
        <color rgb="FFF08D5B"/>
      </dataBar>
    </cfRule>
  </conditionalFormatting>
  <conditionalFormatting sqref="X246:X254">
    <cfRule type="dataBar" priority="1605">
      <dataBar>
        <cfvo type="min"/>
        <cfvo type="max"/>
        <color rgb="FFF08D5B"/>
      </dataBar>
    </cfRule>
  </conditionalFormatting>
  <conditionalFormatting sqref="X260:X268">
    <cfRule type="dataBar" priority="1674">
      <dataBar>
        <cfvo type="min"/>
        <cfvo type="max"/>
        <color rgb="FFF08D5B"/>
      </dataBar>
    </cfRule>
  </conditionalFormatting>
  <conditionalFormatting sqref="X274:X276">
    <cfRule type="dataBar" priority="1743">
      <dataBar>
        <cfvo type="min"/>
        <cfvo type="max"/>
        <color rgb="FFF08D5B"/>
      </dataBar>
    </cfRule>
  </conditionalFormatting>
  <conditionalFormatting sqref="X282:X287">
    <cfRule type="dataBar" priority="1812">
      <dataBar>
        <cfvo type="min"/>
        <cfvo type="max"/>
        <color rgb="FFF08D5B"/>
      </dataBar>
    </cfRule>
  </conditionalFormatting>
  <conditionalFormatting sqref="X293:X300">
    <cfRule type="dataBar" priority="1881">
      <dataBar>
        <cfvo type="min"/>
        <cfvo type="max"/>
        <color rgb="FFF08D5B"/>
      </dataBar>
    </cfRule>
  </conditionalFormatting>
  <conditionalFormatting sqref="X306:X313">
    <cfRule type="dataBar" priority="1950">
      <dataBar>
        <cfvo type="min"/>
        <cfvo type="max"/>
        <color rgb="FFF08D5B"/>
      </dataBar>
    </cfRule>
  </conditionalFormatting>
  <conditionalFormatting sqref="Z6:Z8">
    <cfRule type="dataBar" priority="19">
      <dataBar>
        <cfvo type="min"/>
        <cfvo type="max"/>
        <color rgb="FF628DC4"/>
      </dataBar>
    </cfRule>
  </conditionalFormatting>
  <conditionalFormatting sqref="Z14:Z16">
    <cfRule type="dataBar" priority="88">
      <dataBar>
        <cfvo type="min"/>
        <cfvo type="max"/>
        <color rgb="FF628DC4"/>
      </dataBar>
    </cfRule>
  </conditionalFormatting>
  <conditionalFormatting sqref="Z22:Z24">
    <cfRule type="dataBar" priority="157">
      <dataBar>
        <cfvo type="min"/>
        <cfvo type="max"/>
        <color rgb="FF628DC4"/>
      </dataBar>
    </cfRule>
  </conditionalFormatting>
  <conditionalFormatting sqref="Z30:Z36">
    <cfRule type="dataBar" priority="226">
      <dataBar>
        <cfvo type="min"/>
        <cfvo type="max"/>
        <color rgb="FF628DC4"/>
      </dataBar>
    </cfRule>
  </conditionalFormatting>
  <conditionalFormatting sqref="Z42:Z49">
    <cfRule type="dataBar" priority="295">
      <dataBar>
        <cfvo type="min"/>
        <cfvo type="max"/>
        <color rgb="FF628DC4"/>
      </dataBar>
    </cfRule>
  </conditionalFormatting>
  <conditionalFormatting sqref="Z55:Z58">
    <cfRule type="dataBar" priority="364">
      <dataBar>
        <cfvo type="min"/>
        <cfvo type="max"/>
        <color rgb="FF628DC4"/>
      </dataBar>
    </cfRule>
  </conditionalFormatting>
  <conditionalFormatting sqref="Z64:Z66">
    <cfRule type="dataBar" priority="433">
      <dataBar>
        <cfvo type="min"/>
        <cfvo type="max"/>
        <color rgb="FF628DC4"/>
      </dataBar>
    </cfRule>
  </conditionalFormatting>
  <conditionalFormatting sqref="Z72:Z78">
    <cfRule type="dataBar" priority="502">
      <dataBar>
        <cfvo type="min"/>
        <cfvo type="max"/>
        <color rgb="FF628DC4"/>
      </dataBar>
    </cfRule>
  </conditionalFormatting>
  <conditionalFormatting sqref="Z84:Z91">
    <cfRule type="dataBar" priority="571">
      <dataBar>
        <cfvo type="min"/>
        <cfvo type="max"/>
        <color rgb="FF628DC4"/>
      </dataBar>
    </cfRule>
  </conditionalFormatting>
  <conditionalFormatting sqref="Z97:Z100">
    <cfRule type="dataBar" priority="640">
      <dataBar>
        <cfvo type="min"/>
        <cfvo type="max"/>
        <color rgb="FF628DC4"/>
      </dataBar>
    </cfRule>
  </conditionalFormatting>
  <conditionalFormatting sqref="Z106:Z108">
    <cfRule type="dataBar" priority="709">
      <dataBar>
        <cfvo type="min"/>
        <cfvo type="max"/>
        <color rgb="FF628DC4"/>
      </dataBar>
    </cfRule>
  </conditionalFormatting>
  <conditionalFormatting sqref="Z114:Z120">
    <cfRule type="dataBar" priority="778">
      <dataBar>
        <cfvo type="min"/>
        <cfvo type="max"/>
        <color rgb="FF628DC4"/>
      </dataBar>
    </cfRule>
  </conditionalFormatting>
  <conditionalFormatting sqref="Z126:Z133">
    <cfRule type="dataBar" priority="847">
      <dataBar>
        <cfvo type="min"/>
        <cfvo type="max"/>
        <color rgb="FF628DC4"/>
      </dataBar>
    </cfRule>
  </conditionalFormatting>
  <conditionalFormatting sqref="Z139:Z142">
    <cfRule type="dataBar" priority="916">
      <dataBar>
        <cfvo type="min"/>
        <cfvo type="max"/>
        <color rgb="FF628DC4"/>
      </dataBar>
    </cfRule>
  </conditionalFormatting>
  <conditionalFormatting sqref="Z148:Z150">
    <cfRule type="dataBar" priority="985">
      <dataBar>
        <cfvo type="min"/>
        <cfvo type="max"/>
        <color rgb="FF628DC4"/>
      </dataBar>
    </cfRule>
  </conditionalFormatting>
  <conditionalFormatting sqref="Z156:Z162">
    <cfRule type="dataBar" priority="1054">
      <dataBar>
        <cfvo type="min"/>
        <cfvo type="max"/>
        <color rgb="FF628DC4"/>
      </dataBar>
    </cfRule>
  </conditionalFormatting>
  <conditionalFormatting sqref="Z168:Z175">
    <cfRule type="dataBar" priority="1123">
      <dataBar>
        <cfvo type="min"/>
        <cfvo type="max"/>
        <color rgb="FF628DC4"/>
      </dataBar>
    </cfRule>
  </conditionalFormatting>
  <conditionalFormatting sqref="Z181:Z184">
    <cfRule type="dataBar" priority="1192">
      <dataBar>
        <cfvo type="min"/>
        <cfvo type="max"/>
        <color rgb="FF628DC4"/>
      </dataBar>
    </cfRule>
  </conditionalFormatting>
  <conditionalFormatting sqref="Z190:Z192">
    <cfRule type="dataBar" priority="1261">
      <dataBar>
        <cfvo type="min"/>
        <cfvo type="max"/>
        <color rgb="FF628DC4"/>
      </dataBar>
    </cfRule>
  </conditionalFormatting>
  <conditionalFormatting sqref="Z198:Z204">
    <cfRule type="dataBar" priority="1330">
      <dataBar>
        <cfvo type="min"/>
        <cfvo type="max"/>
        <color rgb="FF628DC4"/>
      </dataBar>
    </cfRule>
  </conditionalFormatting>
  <conditionalFormatting sqref="Z210:Z212">
    <cfRule type="dataBar" priority="1399">
      <dataBar>
        <cfvo type="min"/>
        <cfvo type="max"/>
        <color rgb="FF628DC4"/>
      </dataBar>
    </cfRule>
  </conditionalFormatting>
  <conditionalFormatting sqref="Z218:Z226">
    <cfRule type="dataBar" priority="1468">
      <dataBar>
        <cfvo type="min"/>
        <cfvo type="max"/>
        <color rgb="FF628DC4"/>
      </dataBar>
    </cfRule>
  </conditionalFormatting>
  <conditionalFormatting sqref="Z232:Z240">
    <cfRule type="dataBar" priority="1537">
      <dataBar>
        <cfvo type="min"/>
        <cfvo type="max"/>
        <color rgb="FF628DC4"/>
      </dataBar>
    </cfRule>
  </conditionalFormatting>
  <conditionalFormatting sqref="Z246:Z254">
    <cfRule type="dataBar" priority="1606">
      <dataBar>
        <cfvo type="min"/>
        <cfvo type="max"/>
        <color rgb="FF628DC4"/>
      </dataBar>
    </cfRule>
  </conditionalFormatting>
  <conditionalFormatting sqref="Z260:Z268">
    <cfRule type="dataBar" priority="1675">
      <dataBar>
        <cfvo type="min"/>
        <cfvo type="max"/>
        <color rgb="FF628DC4"/>
      </dataBar>
    </cfRule>
  </conditionalFormatting>
  <conditionalFormatting sqref="Z274:Z276">
    <cfRule type="dataBar" priority="1744">
      <dataBar>
        <cfvo type="min"/>
        <cfvo type="max"/>
        <color rgb="FF628DC4"/>
      </dataBar>
    </cfRule>
  </conditionalFormatting>
  <conditionalFormatting sqref="Z282:Z287">
    <cfRule type="dataBar" priority="1813">
      <dataBar>
        <cfvo type="min"/>
        <cfvo type="max"/>
        <color rgb="FF628DC4"/>
      </dataBar>
    </cfRule>
  </conditionalFormatting>
  <conditionalFormatting sqref="Z293:Z300">
    <cfRule type="dataBar" priority="1882">
      <dataBar>
        <cfvo type="min"/>
        <cfvo type="max"/>
        <color rgb="FF628DC4"/>
      </dataBar>
    </cfRule>
  </conditionalFormatting>
  <conditionalFormatting sqref="Z306:Z313">
    <cfRule type="dataBar" priority="1951">
      <dataBar>
        <cfvo type="min"/>
        <cfvo type="max"/>
        <color rgb="FF628DC4"/>
      </dataBar>
    </cfRule>
  </conditionalFormatting>
  <conditionalFormatting sqref="AA6:AA8">
    <cfRule type="dataBar" priority="20">
      <dataBar>
        <cfvo type="min"/>
        <cfvo type="max"/>
        <color rgb="FFFFB628"/>
      </dataBar>
    </cfRule>
  </conditionalFormatting>
  <conditionalFormatting sqref="AA14:AA16">
    <cfRule type="dataBar" priority="89">
      <dataBar>
        <cfvo type="min"/>
        <cfvo type="max"/>
        <color rgb="FFFFB628"/>
      </dataBar>
    </cfRule>
  </conditionalFormatting>
  <conditionalFormatting sqref="AA22:AA24">
    <cfRule type="dataBar" priority="158">
      <dataBar>
        <cfvo type="min"/>
        <cfvo type="max"/>
        <color rgb="FFFFB628"/>
      </dataBar>
    </cfRule>
  </conditionalFormatting>
  <conditionalFormatting sqref="AA30:AA36">
    <cfRule type="dataBar" priority="227">
      <dataBar>
        <cfvo type="min"/>
        <cfvo type="max"/>
        <color rgb="FFFFB628"/>
      </dataBar>
    </cfRule>
  </conditionalFormatting>
  <conditionalFormatting sqref="AA42:AA49">
    <cfRule type="dataBar" priority="296">
      <dataBar>
        <cfvo type="min"/>
        <cfvo type="max"/>
        <color rgb="FFFFB628"/>
      </dataBar>
    </cfRule>
  </conditionalFormatting>
  <conditionalFormatting sqref="AA55:AA58">
    <cfRule type="dataBar" priority="365">
      <dataBar>
        <cfvo type="min"/>
        <cfvo type="max"/>
        <color rgb="FFFFB628"/>
      </dataBar>
    </cfRule>
  </conditionalFormatting>
  <conditionalFormatting sqref="AA64:AA66">
    <cfRule type="dataBar" priority="434">
      <dataBar>
        <cfvo type="min"/>
        <cfvo type="max"/>
        <color rgb="FFFFB628"/>
      </dataBar>
    </cfRule>
  </conditionalFormatting>
  <conditionalFormatting sqref="AA72:AA78">
    <cfRule type="dataBar" priority="503">
      <dataBar>
        <cfvo type="min"/>
        <cfvo type="max"/>
        <color rgb="FFFFB628"/>
      </dataBar>
    </cfRule>
  </conditionalFormatting>
  <conditionalFormatting sqref="AA84:AA91">
    <cfRule type="dataBar" priority="572">
      <dataBar>
        <cfvo type="min"/>
        <cfvo type="max"/>
        <color rgb="FFFFB628"/>
      </dataBar>
    </cfRule>
  </conditionalFormatting>
  <conditionalFormatting sqref="AA97:AA100">
    <cfRule type="dataBar" priority="641">
      <dataBar>
        <cfvo type="min"/>
        <cfvo type="max"/>
        <color rgb="FFFFB628"/>
      </dataBar>
    </cfRule>
  </conditionalFormatting>
  <conditionalFormatting sqref="AA106:AA108">
    <cfRule type="dataBar" priority="710">
      <dataBar>
        <cfvo type="min"/>
        <cfvo type="max"/>
        <color rgb="FFFFB628"/>
      </dataBar>
    </cfRule>
  </conditionalFormatting>
  <conditionalFormatting sqref="AA114:AA120">
    <cfRule type="dataBar" priority="779">
      <dataBar>
        <cfvo type="min"/>
        <cfvo type="max"/>
        <color rgb="FFFFB628"/>
      </dataBar>
    </cfRule>
  </conditionalFormatting>
  <conditionalFormatting sqref="AA126:AA133">
    <cfRule type="dataBar" priority="848">
      <dataBar>
        <cfvo type="min"/>
        <cfvo type="max"/>
        <color rgb="FFFFB628"/>
      </dataBar>
    </cfRule>
  </conditionalFormatting>
  <conditionalFormatting sqref="AA139:AA142">
    <cfRule type="dataBar" priority="917">
      <dataBar>
        <cfvo type="min"/>
        <cfvo type="max"/>
        <color rgb="FFFFB628"/>
      </dataBar>
    </cfRule>
  </conditionalFormatting>
  <conditionalFormatting sqref="AA148:AA150">
    <cfRule type="dataBar" priority="986">
      <dataBar>
        <cfvo type="min"/>
        <cfvo type="max"/>
        <color rgb="FFFFB628"/>
      </dataBar>
    </cfRule>
  </conditionalFormatting>
  <conditionalFormatting sqref="AA156:AA162">
    <cfRule type="dataBar" priority="1055">
      <dataBar>
        <cfvo type="min"/>
        <cfvo type="max"/>
        <color rgb="FFFFB628"/>
      </dataBar>
    </cfRule>
  </conditionalFormatting>
  <conditionalFormatting sqref="AA168:AA175">
    <cfRule type="dataBar" priority="1124">
      <dataBar>
        <cfvo type="min"/>
        <cfvo type="max"/>
        <color rgb="FFFFB628"/>
      </dataBar>
    </cfRule>
  </conditionalFormatting>
  <conditionalFormatting sqref="AA181:AA184">
    <cfRule type="dataBar" priority="1193">
      <dataBar>
        <cfvo type="min"/>
        <cfvo type="max"/>
        <color rgb="FFFFB628"/>
      </dataBar>
    </cfRule>
  </conditionalFormatting>
  <conditionalFormatting sqref="AA190:AA192">
    <cfRule type="dataBar" priority="1262">
      <dataBar>
        <cfvo type="min"/>
        <cfvo type="max"/>
        <color rgb="FFFFB628"/>
      </dataBar>
    </cfRule>
  </conditionalFormatting>
  <conditionalFormatting sqref="AA198:AA204">
    <cfRule type="dataBar" priority="1331">
      <dataBar>
        <cfvo type="min"/>
        <cfvo type="max"/>
        <color rgb="FFFFB628"/>
      </dataBar>
    </cfRule>
  </conditionalFormatting>
  <conditionalFormatting sqref="AA210:AA212">
    <cfRule type="dataBar" priority="1400">
      <dataBar>
        <cfvo type="min"/>
        <cfvo type="max"/>
        <color rgb="FFFFB628"/>
      </dataBar>
    </cfRule>
  </conditionalFormatting>
  <conditionalFormatting sqref="AA218:AA226">
    <cfRule type="dataBar" priority="1469">
      <dataBar>
        <cfvo type="min"/>
        <cfvo type="max"/>
        <color rgb="FFFFB628"/>
      </dataBar>
    </cfRule>
  </conditionalFormatting>
  <conditionalFormatting sqref="AA232:AA240">
    <cfRule type="dataBar" priority="1538">
      <dataBar>
        <cfvo type="min"/>
        <cfvo type="max"/>
        <color rgb="FFFFB628"/>
      </dataBar>
    </cfRule>
  </conditionalFormatting>
  <conditionalFormatting sqref="AA246:AA254">
    <cfRule type="dataBar" priority="1607">
      <dataBar>
        <cfvo type="min"/>
        <cfvo type="max"/>
        <color rgb="FFFFB628"/>
      </dataBar>
    </cfRule>
  </conditionalFormatting>
  <conditionalFormatting sqref="AA260:AA268">
    <cfRule type="dataBar" priority="1676">
      <dataBar>
        <cfvo type="min"/>
        <cfvo type="max"/>
        <color rgb="FFFFB628"/>
      </dataBar>
    </cfRule>
  </conditionalFormatting>
  <conditionalFormatting sqref="AA274:AA276">
    <cfRule type="dataBar" priority="1745">
      <dataBar>
        <cfvo type="min"/>
        <cfvo type="max"/>
        <color rgb="FFFFB628"/>
      </dataBar>
    </cfRule>
  </conditionalFormatting>
  <conditionalFormatting sqref="AA282:AA287">
    <cfRule type="dataBar" priority="1814">
      <dataBar>
        <cfvo type="min"/>
        <cfvo type="max"/>
        <color rgb="FFFFB628"/>
      </dataBar>
    </cfRule>
  </conditionalFormatting>
  <conditionalFormatting sqref="AA293:AA300">
    <cfRule type="dataBar" priority="1883">
      <dataBar>
        <cfvo type="min"/>
        <cfvo type="max"/>
        <color rgb="FFFFB628"/>
      </dataBar>
    </cfRule>
  </conditionalFormatting>
  <conditionalFormatting sqref="AA306:AA313">
    <cfRule type="dataBar" priority="1952">
      <dataBar>
        <cfvo type="min"/>
        <cfvo type="max"/>
        <color rgb="FFFFB628"/>
      </dataBar>
    </cfRule>
  </conditionalFormatting>
  <conditionalFormatting sqref="AB6:AB8">
    <cfRule type="dataBar" priority="21">
      <dataBar>
        <cfvo type="min"/>
        <cfvo type="max"/>
        <color rgb="FFF08D5B"/>
      </dataBar>
    </cfRule>
  </conditionalFormatting>
  <conditionalFormatting sqref="AB14:AB16">
    <cfRule type="dataBar" priority="90">
      <dataBar>
        <cfvo type="min"/>
        <cfvo type="max"/>
        <color rgb="FFF08D5B"/>
      </dataBar>
    </cfRule>
  </conditionalFormatting>
  <conditionalFormatting sqref="AB22:AB24">
    <cfRule type="dataBar" priority="159">
      <dataBar>
        <cfvo type="min"/>
        <cfvo type="max"/>
        <color rgb="FFF08D5B"/>
      </dataBar>
    </cfRule>
  </conditionalFormatting>
  <conditionalFormatting sqref="AB30:AB36">
    <cfRule type="dataBar" priority="228">
      <dataBar>
        <cfvo type="min"/>
        <cfvo type="max"/>
        <color rgb="FFF08D5B"/>
      </dataBar>
    </cfRule>
  </conditionalFormatting>
  <conditionalFormatting sqref="AB42:AB49">
    <cfRule type="dataBar" priority="297">
      <dataBar>
        <cfvo type="min"/>
        <cfvo type="max"/>
        <color rgb="FFF08D5B"/>
      </dataBar>
    </cfRule>
  </conditionalFormatting>
  <conditionalFormatting sqref="AB55:AB58">
    <cfRule type="dataBar" priority="366">
      <dataBar>
        <cfvo type="min"/>
        <cfvo type="max"/>
        <color rgb="FFF08D5B"/>
      </dataBar>
    </cfRule>
  </conditionalFormatting>
  <conditionalFormatting sqref="AB64:AB66">
    <cfRule type="dataBar" priority="435">
      <dataBar>
        <cfvo type="min"/>
        <cfvo type="max"/>
        <color rgb="FFF08D5B"/>
      </dataBar>
    </cfRule>
  </conditionalFormatting>
  <conditionalFormatting sqref="AB72:AB78">
    <cfRule type="dataBar" priority="504">
      <dataBar>
        <cfvo type="min"/>
        <cfvo type="max"/>
        <color rgb="FFF08D5B"/>
      </dataBar>
    </cfRule>
  </conditionalFormatting>
  <conditionalFormatting sqref="AB84:AB91">
    <cfRule type="dataBar" priority="573">
      <dataBar>
        <cfvo type="min"/>
        <cfvo type="max"/>
        <color rgb="FFF08D5B"/>
      </dataBar>
    </cfRule>
  </conditionalFormatting>
  <conditionalFormatting sqref="AB97:AB100">
    <cfRule type="dataBar" priority="642">
      <dataBar>
        <cfvo type="min"/>
        <cfvo type="max"/>
        <color rgb="FFF08D5B"/>
      </dataBar>
    </cfRule>
  </conditionalFormatting>
  <conditionalFormatting sqref="AB106:AB108">
    <cfRule type="dataBar" priority="711">
      <dataBar>
        <cfvo type="min"/>
        <cfvo type="max"/>
        <color rgb="FFF08D5B"/>
      </dataBar>
    </cfRule>
  </conditionalFormatting>
  <conditionalFormatting sqref="AB114:AB120">
    <cfRule type="dataBar" priority="780">
      <dataBar>
        <cfvo type="min"/>
        <cfvo type="max"/>
        <color rgb="FFF08D5B"/>
      </dataBar>
    </cfRule>
  </conditionalFormatting>
  <conditionalFormatting sqref="AB126:AB133">
    <cfRule type="dataBar" priority="849">
      <dataBar>
        <cfvo type="min"/>
        <cfvo type="max"/>
        <color rgb="FFF08D5B"/>
      </dataBar>
    </cfRule>
  </conditionalFormatting>
  <conditionalFormatting sqref="AB139:AB142">
    <cfRule type="dataBar" priority="918">
      <dataBar>
        <cfvo type="min"/>
        <cfvo type="max"/>
        <color rgb="FFF08D5B"/>
      </dataBar>
    </cfRule>
  </conditionalFormatting>
  <conditionalFormatting sqref="AB148:AB150">
    <cfRule type="dataBar" priority="987">
      <dataBar>
        <cfvo type="min"/>
        <cfvo type="max"/>
        <color rgb="FFF08D5B"/>
      </dataBar>
    </cfRule>
  </conditionalFormatting>
  <conditionalFormatting sqref="AB156:AB162">
    <cfRule type="dataBar" priority="1056">
      <dataBar>
        <cfvo type="min"/>
        <cfvo type="max"/>
        <color rgb="FFF08D5B"/>
      </dataBar>
    </cfRule>
  </conditionalFormatting>
  <conditionalFormatting sqref="AB168:AB175">
    <cfRule type="dataBar" priority="1125">
      <dataBar>
        <cfvo type="min"/>
        <cfvo type="max"/>
        <color rgb="FFF08D5B"/>
      </dataBar>
    </cfRule>
  </conditionalFormatting>
  <conditionalFormatting sqref="AB181:AB184">
    <cfRule type="dataBar" priority="1194">
      <dataBar>
        <cfvo type="min"/>
        <cfvo type="max"/>
        <color rgb="FFF08D5B"/>
      </dataBar>
    </cfRule>
  </conditionalFormatting>
  <conditionalFormatting sqref="AB190:AB192">
    <cfRule type="dataBar" priority="1263">
      <dataBar>
        <cfvo type="min"/>
        <cfvo type="max"/>
        <color rgb="FFF08D5B"/>
      </dataBar>
    </cfRule>
  </conditionalFormatting>
  <conditionalFormatting sqref="AB198:AB204">
    <cfRule type="dataBar" priority="1332">
      <dataBar>
        <cfvo type="min"/>
        <cfvo type="max"/>
        <color rgb="FFF08D5B"/>
      </dataBar>
    </cfRule>
  </conditionalFormatting>
  <conditionalFormatting sqref="AB210:AB212">
    <cfRule type="dataBar" priority="1401">
      <dataBar>
        <cfvo type="min"/>
        <cfvo type="max"/>
        <color rgb="FFF08D5B"/>
      </dataBar>
    </cfRule>
  </conditionalFormatting>
  <conditionalFormatting sqref="AB218:AB226">
    <cfRule type="dataBar" priority="1470">
      <dataBar>
        <cfvo type="min"/>
        <cfvo type="max"/>
        <color rgb="FFF08D5B"/>
      </dataBar>
    </cfRule>
  </conditionalFormatting>
  <conditionalFormatting sqref="AB232:AB240">
    <cfRule type="dataBar" priority="1539">
      <dataBar>
        <cfvo type="min"/>
        <cfvo type="max"/>
        <color rgb="FFF08D5B"/>
      </dataBar>
    </cfRule>
  </conditionalFormatting>
  <conditionalFormatting sqref="AB246:AB254">
    <cfRule type="dataBar" priority="1608">
      <dataBar>
        <cfvo type="min"/>
        <cfvo type="max"/>
        <color rgb="FFF08D5B"/>
      </dataBar>
    </cfRule>
  </conditionalFormatting>
  <conditionalFormatting sqref="AB260:AB268">
    <cfRule type="dataBar" priority="1677">
      <dataBar>
        <cfvo type="min"/>
        <cfvo type="max"/>
        <color rgb="FFF08D5B"/>
      </dataBar>
    </cfRule>
  </conditionalFormatting>
  <conditionalFormatting sqref="AB274:AB276">
    <cfRule type="dataBar" priority="1746">
      <dataBar>
        <cfvo type="min"/>
        <cfvo type="max"/>
        <color rgb="FFF08D5B"/>
      </dataBar>
    </cfRule>
  </conditionalFormatting>
  <conditionalFormatting sqref="AB282:AB287">
    <cfRule type="dataBar" priority="1815">
      <dataBar>
        <cfvo type="min"/>
        <cfvo type="max"/>
        <color rgb="FFF08D5B"/>
      </dataBar>
    </cfRule>
  </conditionalFormatting>
  <conditionalFormatting sqref="AB293:AB300">
    <cfRule type="dataBar" priority="1884">
      <dataBar>
        <cfvo type="min"/>
        <cfvo type="max"/>
        <color rgb="FFF08D5B"/>
      </dataBar>
    </cfRule>
  </conditionalFormatting>
  <conditionalFormatting sqref="AB306:AB313">
    <cfRule type="dataBar" priority="1953">
      <dataBar>
        <cfvo type="min"/>
        <cfvo type="max"/>
        <color rgb="FFF08D5B"/>
      </dataBar>
    </cfRule>
  </conditionalFormatting>
  <conditionalFormatting sqref="AD6:AD8">
    <cfRule type="dataBar" priority="22">
      <dataBar>
        <cfvo type="min"/>
        <cfvo type="max"/>
        <color rgb="FF628DC4"/>
      </dataBar>
    </cfRule>
  </conditionalFormatting>
  <conditionalFormatting sqref="AD14:AD16">
    <cfRule type="dataBar" priority="91">
      <dataBar>
        <cfvo type="min"/>
        <cfvo type="max"/>
        <color rgb="FF628DC4"/>
      </dataBar>
    </cfRule>
  </conditionalFormatting>
  <conditionalFormatting sqref="AD22:AD24">
    <cfRule type="dataBar" priority="160">
      <dataBar>
        <cfvo type="min"/>
        <cfvo type="max"/>
        <color rgb="FF628DC4"/>
      </dataBar>
    </cfRule>
  </conditionalFormatting>
  <conditionalFormatting sqref="AD30:AD36">
    <cfRule type="dataBar" priority="229">
      <dataBar>
        <cfvo type="min"/>
        <cfvo type="max"/>
        <color rgb="FF628DC4"/>
      </dataBar>
    </cfRule>
  </conditionalFormatting>
  <conditionalFormatting sqref="AD42:AD49">
    <cfRule type="dataBar" priority="298">
      <dataBar>
        <cfvo type="min"/>
        <cfvo type="max"/>
        <color rgb="FF628DC4"/>
      </dataBar>
    </cfRule>
  </conditionalFormatting>
  <conditionalFormatting sqref="AD55:AD58">
    <cfRule type="dataBar" priority="367">
      <dataBar>
        <cfvo type="min"/>
        <cfvo type="max"/>
        <color rgb="FF628DC4"/>
      </dataBar>
    </cfRule>
  </conditionalFormatting>
  <conditionalFormatting sqref="AD64:AD66">
    <cfRule type="dataBar" priority="436">
      <dataBar>
        <cfvo type="min"/>
        <cfvo type="max"/>
        <color rgb="FF628DC4"/>
      </dataBar>
    </cfRule>
  </conditionalFormatting>
  <conditionalFormatting sqref="AD72:AD78">
    <cfRule type="dataBar" priority="505">
      <dataBar>
        <cfvo type="min"/>
        <cfvo type="max"/>
        <color rgb="FF628DC4"/>
      </dataBar>
    </cfRule>
  </conditionalFormatting>
  <conditionalFormatting sqref="AD84:AD91">
    <cfRule type="dataBar" priority="574">
      <dataBar>
        <cfvo type="min"/>
        <cfvo type="max"/>
        <color rgb="FF628DC4"/>
      </dataBar>
    </cfRule>
  </conditionalFormatting>
  <conditionalFormatting sqref="AD97:AD100">
    <cfRule type="dataBar" priority="643">
      <dataBar>
        <cfvo type="min"/>
        <cfvo type="max"/>
        <color rgb="FF628DC4"/>
      </dataBar>
    </cfRule>
  </conditionalFormatting>
  <conditionalFormatting sqref="AD106:AD108">
    <cfRule type="dataBar" priority="712">
      <dataBar>
        <cfvo type="min"/>
        <cfvo type="max"/>
        <color rgb="FF628DC4"/>
      </dataBar>
    </cfRule>
  </conditionalFormatting>
  <conditionalFormatting sqref="AD114:AD120">
    <cfRule type="dataBar" priority="781">
      <dataBar>
        <cfvo type="min"/>
        <cfvo type="max"/>
        <color rgb="FF628DC4"/>
      </dataBar>
    </cfRule>
  </conditionalFormatting>
  <conditionalFormatting sqref="AD126:AD133">
    <cfRule type="dataBar" priority="850">
      <dataBar>
        <cfvo type="min"/>
        <cfvo type="max"/>
        <color rgb="FF628DC4"/>
      </dataBar>
    </cfRule>
  </conditionalFormatting>
  <conditionalFormatting sqref="AD139:AD142">
    <cfRule type="dataBar" priority="919">
      <dataBar>
        <cfvo type="min"/>
        <cfvo type="max"/>
        <color rgb="FF628DC4"/>
      </dataBar>
    </cfRule>
  </conditionalFormatting>
  <conditionalFormatting sqref="AD148:AD150">
    <cfRule type="dataBar" priority="988">
      <dataBar>
        <cfvo type="min"/>
        <cfvo type="max"/>
        <color rgb="FF628DC4"/>
      </dataBar>
    </cfRule>
  </conditionalFormatting>
  <conditionalFormatting sqref="AD156:AD162">
    <cfRule type="dataBar" priority="1057">
      <dataBar>
        <cfvo type="min"/>
        <cfvo type="max"/>
        <color rgb="FF628DC4"/>
      </dataBar>
    </cfRule>
  </conditionalFormatting>
  <conditionalFormatting sqref="AD168:AD175">
    <cfRule type="dataBar" priority="1126">
      <dataBar>
        <cfvo type="min"/>
        <cfvo type="max"/>
        <color rgb="FF628DC4"/>
      </dataBar>
    </cfRule>
  </conditionalFormatting>
  <conditionalFormatting sqref="AD181:AD184">
    <cfRule type="dataBar" priority="1195">
      <dataBar>
        <cfvo type="min"/>
        <cfvo type="max"/>
        <color rgb="FF628DC4"/>
      </dataBar>
    </cfRule>
  </conditionalFormatting>
  <conditionalFormatting sqref="AD190:AD192">
    <cfRule type="dataBar" priority="1264">
      <dataBar>
        <cfvo type="min"/>
        <cfvo type="max"/>
        <color rgb="FF628DC4"/>
      </dataBar>
    </cfRule>
  </conditionalFormatting>
  <conditionalFormatting sqref="AD198:AD204">
    <cfRule type="dataBar" priority="1333">
      <dataBar>
        <cfvo type="min"/>
        <cfvo type="max"/>
        <color rgb="FF628DC4"/>
      </dataBar>
    </cfRule>
  </conditionalFormatting>
  <conditionalFormatting sqref="AD210:AD212">
    <cfRule type="dataBar" priority="1402">
      <dataBar>
        <cfvo type="min"/>
        <cfvo type="max"/>
        <color rgb="FF628DC4"/>
      </dataBar>
    </cfRule>
  </conditionalFormatting>
  <conditionalFormatting sqref="AD218:AD226">
    <cfRule type="dataBar" priority="1471">
      <dataBar>
        <cfvo type="min"/>
        <cfvo type="max"/>
        <color rgb="FF628DC4"/>
      </dataBar>
    </cfRule>
  </conditionalFormatting>
  <conditionalFormatting sqref="AD232:AD240">
    <cfRule type="dataBar" priority="1540">
      <dataBar>
        <cfvo type="min"/>
        <cfvo type="max"/>
        <color rgb="FF628DC4"/>
      </dataBar>
    </cfRule>
  </conditionalFormatting>
  <conditionalFormatting sqref="AD246:AD254">
    <cfRule type="dataBar" priority="1609">
      <dataBar>
        <cfvo type="min"/>
        <cfvo type="max"/>
        <color rgb="FF628DC4"/>
      </dataBar>
    </cfRule>
  </conditionalFormatting>
  <conditionalFormatting sqref="AD260:AD268">
    <cfRule type="dataBar" priority="1678">
      <dataBar>
        <cfvo type="min"/>
        <cfvo type="max"/>
        <color rgb="FF628DC4"/>
      </dataBar>
    </cfRule>
  </conditionalFormatting>
  <conditionalFormatting sqref="AD274:AD276">
    <cfRule type="dataBar" priority="1747">
      <dataBar>
        <cfvo type="min"/>
        <cfvo type="max"/>
        <color rgb="FF628DC4"/>
      </dataBar>
    </cfRule>
  </conditionalFormatting>
  <conditionalFormatting sqref="AD282:AD287">
    <cfRule type="dataBar" priority="1816">
      <dataBar>
        <cfvo type="min"/>
        <cfvo type="max"/>
        <color rgb="FF628DC4"/>
      </dataBar>
    </cfRule>
  </conditionalFormatting>
  <conditionalFormatting sqref="AD293:AD300">
    <cfRule type="dataBar" priority="1885">
      <dataBar>
        <cfvo type="min"/>
        <cfvo type="max"/>
        <color rgb="FF628DC4"/>
      </dataBar>
    </cfRule>
  </conditionalFormatting>
  <conditionalFormatting sqref="AD306:AD313">
    <cfRule type="dataBar" priority="1954">
      <dataBar>
        <cfvo type="min"/>
        <cfvo type="max"/>
        <color rgb="FF628DC4"/>
      </dataBar>
    </cfRule>
  </conditionalFormatting>
  <conditionalFormatting sqref="AE6:AE8">
    <cfRule type="dataBar" priority="23">
      <dataBar>
        <cfvo type="min"/>
        <cfvo type="max"/>
        <color rgb="FFFFB628"/>
      </dataBar>
    </cfRule>
  </conditionalFormatting>
  <conditionalFormatting sqref="AE14:AE16">
    <cfRule type="dataBar" priority="92">
      <dataBar>
        <cfvo type="min"/>
        <cfvo type="max"/>
        <color rgb="FFFFB628"/>
      </dataBar>
    </cfRule>
  </conditionalFormatting>
  <conditionalFormatting sqref="AE22:AE24">
    <cfRule type="dataBar" priority="161">
      <dataBar>
        <cfvo type="min"/>
        <cfvo type="max"/>
        <color rgb="FFFFB628"/>
      </dataBar>
    </cfRule>
  </conditionalFormatting>
  <conditionalFormatting sqref="AE30:AE36">
    <cfRule type="dataBar" priority="230">
      <dataBar>
        <cfvo type="min"/>
        <cfvo type="max"/>
        <color rgb="FFFFB628"/>
      </dataBar>
    </cfRule>
  </conditionalFormatting>
  <conditionalFormatting sqref="AE42:AE49">
    <cfRule type="dataBar" priority="299">
      <dataBar>
        <cfvo type="min"/>
        <cfvo type="max"/>
        <color rgb="FFFFB628"/>
      </dataBar>
    </cfRule>
  </conditionalFormatting>
  <conditionalFormatting sqref="AE55:AE58">
    <cfRule type="dataBar" priority="368">
      <dataBar>
        <cfvo type="min"/>
        <cfvo type="max"/>
        <color rgb="FFFFB628"/>
      </dataBar>
    </cfRule>
  </conditionalFormatting>
  <conditionalFormatting sqref="AE64:AE66">
    <cfRule type="dataBar" priority="437">
      <dataBar>
        <cfvo type="min"/>
        <cfvo type="max"/>
        <color rgb="FFFFB628"/>
      </dataBar>
    </cfRule>
  </conditionalFormatting>
  <conditionalFormatting sqref="AE72:AE78">
    <cfRule type="dataBar" priority="506">
      <dataBar>
        <cfvo type="min"/>
        <cfvo type="max"/>
        <color rgb="FFFFB628"/>
      </dataBar>
    </cfRule>
  </conditionalFormatting>
  <conditionalFormatting sqref="AE84:AE91">
    <cfRule type="dataBar" priority="575">
      <dataBar>
        <cfvo type="min"/>
        <cfvo type="max"/>
        <color rgb="FFFFB628"/>
      </dataBar>
    </cfRule>
  </conditionalFormatting>
  <conditionalFormatting sqref="AE97:AE100">
    <cfRule type="dataBar" priority="644">
      <dataBar>
        <cfvo type="min"/>
        <cfvo type="max"/>
        <color rgb="FFFFB628"/>
      </dataBar>
    </cfRule>
  </conditionalFormatting>
  <conditionalFormatting sqref="AE106:AE108">
    <cfRule type="dataBar" priority="713">
      <dataBar>
        <cfvo type="min"/>
        <cfvo type="max"/>
        <color rgb="FFFFB628"/>
      </dataBar>
    </cfRule>
  </conditionalFormatting>
  <conditionalFormatting sqref="AE114:AE120">
    <cfRule type="dataBar" priority="782">
      <dataBar>
        <cfvo type="min"/>
        <cfvo type="max"/>
        <color rgb="FFFFB628"/>
      </dataBar>
    </cfRule>
  </conditionalFormatting>
  <conditionalFormatting sqref="AE126:AE133">
    <cfRule type="dataBar" priority="851">
      <dataBar>
        <cfvo type="min"/>
        <cfvo type="max"/>
        <color rgb="FFFFB628"/>
      </dataBar>
    </cfRule>
  </conditionalFormatting>
  <conditionalFormatting sqref="AE139:AE142">
    <cfRule type="dataBar" priority="920">
      <dataBar>
        <cfvo type="min"/>
        <cfvo type="max"/>
        <color rgb="FFFFB628"/>
      </dataBar>
    </cfRule>
  </conditionalFormatting>
  <conditionalFormatting sqref="AE148:AE150">
    <cfRule type="dataBar" priority="989">
      <dataBar>
        <cfvo type="min"/>
        <cfvo type="max"/>
        <color rgb="FFFFB628"/>
      </dataBar>
    </cfRule>
  </conditionalFormatting>
  <conditionalFormatting sqref="AE156:AE162">
    <cfRule type="dataBar" priority="1058">
      <dataBar>
        <cfvo type="min"/>
        <cfvo type="max"/>
        <color rgb="FFFFB628"/>
      </dataBar>
    </cfRule>
  </conditionalFormatting>
  <conditionalFormatting sqref="AE168:AE175">
    <cfRule type="dataBar" priority="1127">
      <dataBar>
        <cfvo type="min"/>
        <cfvo type="max"/>
        <color rgb="FFFFB628"/>
      </dataBar>
    </cfRule>
  </conditionalFormatting>
  <conditionalFormatting sqref="AE181:AE184">
    <cfRule type="dataBar" priority="1196">
      <dataBar>
        <cfvo type="min"/>
        <cfvo type="max"/>
        <color rgb="FFFFB628"/>
      </dataBar>
    </cfRule>
  </conditionalFormatting>
  <conditionalFormatting sqref="AE190:AE192">
    <cfRule type="dataBar" priority="1265">
      <dataBar>
        <cfvo type="min"/>
        <cfvo type="max"/>
        <color rgb="FFFFB628"/>
      </dataBar>
    </cfRule>
  </conditionalFormatting>
  <conditionalFormatting sqref="AE198:AE204">
    <cfRule type="dataBar" priority="1334">
      <dataBar>
        <cfvo type="min"/>
        <cfvo type="max"/>
        <color rgb="FFFFB628"/>
      </dataBar>
    </cfRule>
  </conditionalFormatting>
  <conditionalFormatting sqref="AE210:AE212">
    <cfRule type="dataBar" priority="1403">
      <dataBar>
        <cfvo type="min"/>
        <cfvo type="max"/>
        <color rgb="FFFFB628"/>
      </dataBar>
    </cfRule>
  </conditionalFormatting>
  <conditionalFormatting sqref="AE218:AE226">
    <cfRule type="dataBar" priority="1472">
      <dataBar>
        <cfvo type="min"/>
        <cfvo type="max"/>
        <color rgb="FFFFB628"/>
      </dataBar>
    </cfRule>
  </conditionalFormatting>
  <conditionalFormatting sqref="AE232:AE240">
    <cfRule type="dataBar" priority="1541">
      <dataBar>
        <cfvo type="min"/>
        <cfvo type="max"/>
        <color rgb="FFFFB628"/>
      </dataBar>
    </cfRule>
  </conditionalFormatting>
  <conditionalFormatting sqref="AE246:AE254">
    <cfRule type="dataBar" priority="1610">
      <dataBar>
        <cfvo type="min"/>
        <cfvo type="max"/>
        <color rgb="FFFFB628"/>
      </dataBar>
    </cfRule>
  </conditionalFormatting>
  <conditionalFormatting sqref="AE260:AE268">
    <cfRule type="dataBar" priority="1679">
      <dataBar>
        <cfvo type="min"/>
        <cfvo type="max"/>
        <color rgb="FFFFB628"/>
      </dataBar>
    </cfRule>
  </conditionalFormatting>
  <conditionalFormatting sqref="AE274:AE276">
    <cfRule type="dataBar" priority="1748">
      <dataBar>
        <cfvo type="min"/>
        <cfvo type="max"/>
        <color rgb="FFFFB628"/>
      </dataBar>
    </cfRule>
  </conditionalFormatting>
  <conditionalFormatting sqref="AE282:AE287">
    <cfRule type="dataBar" priority="1817">
      <dataBar>
        <cfvo type="min"/>
        <cfvo type="max"/>
        <color rgb="FFFFB628"/>
      </dataBar>
    </cfRule>
  </conditionalFormatting>
  <conditionalFormatting sqref="AE293:AE300">
    <cfRule type="dataBar" priority="1886">
      <dataBar>
        <cfvo type="min"/>
        <cfvo type="max"/>
        <color rgb="FFFFB628"/>
      </dataBar>
    </cfRule>
  </conditionalFormatting>
  <conditionalFormatting sqref="AE306:AE313">
    <cfRule type="dataBar" priority="1955">
      <dataBar>
        <cfvo type="min"/>
        <cfvo type="max"/>
        <color rgb="FFFFB628"/>
      </dataBar>
    </cfRule>
  </conditionalFormatting>
  <conditionalFormatting sqref="AF6:AF8">
    <cfRule type="dataBar" priority="24">
      <dataBar>
        <cfvo type="min"/>
        <cfvo type="max"/>
        <color rgb="FFF08D5B"/>
      </dataBar>
    </cfRule>
  </conditionalFormatting>
  <conditionalFormatting sqref="AF14:AF16">
    <cfRule type="dataBar" priority="93">
      <dataBar>
        <cfvo type="min"/>
        <cfvo type="max"/>
        <color rgb="FFF08D5B"/>
      </dataBar>
    </cfRule>
  </conditionalFormatting>
  <conditionalFormatting sqref="AF22:AF24">
    <cfRule type="dataBar" priority="162">
      <dataBar>
        <cfvo type="min"/>
        <cfvo type="max"/>
        <color rgb="FFF08D5B"/>
      </dataBar>
    </cfRule>
  </conditionalFormatting>
  <conditionalFormatting sqref="AF30:AF36">
    <cfRule type="dataBar" priority="231">
      <dataBar>
        <cfvo type="min"/>
        <cfvo type="max"/>
        <color rgb="FFF08D5B"/>
      </dataBar>
    </cfRule>
  </conditionalFormatting>
  <conditionalFormatting sqref="AF42:AF49">
    <cfRule type="dataBar" priority="300">
      <dataBar>
        <cfvo type="min"/>
        <cfvo type="max"/>
        <color rgb="FFF08D5B"/>
      </dataBar>
    </cfRule>
  </conditionalFormatting>
  <conditionalFormatting sqref="AF55:AF58">
    <cfRule type="dataBar" priority="369">
      <dataBar>
        <cfvo type="min"/>
        <cfvo type="max"/>
        <color rgb="FFF08D5B"/>
      </dataBar>
    </cfRule>
  </conditionalFormatting>
  <conditionalFormatting sqref="AF64:AF66">
    <cfRule type="dataBar" priority="438">
      <dataBar>
        <cfvo type="min"/>
        <cfvo type="max"/>
        <color rgb="FFF08D5B"/>
      </dataBar>
    </cfRule>
  </conditionalFormatting>
  <conditionalFormatting sqref="AF72:AF78">
    <cfRule type="dataBar" priority="507">
      <dataBar>
        <cfvo type="min"/>
        <cfvo type="max"/>
        <color rgb="FFF08D5B"/>
      </dataBar>
    </cfRule>
  </conditionalFormatting>
  <conditionalFormatting sqref="AF84:AF91">
    <cfRule type="dataBar" priority="576">
      <dataBar>
        <cfvo type="min"/>
        <cfvo type="max"/>
        <color rgb="FFF08D5B"/>
      </dataBar>
    </cfRule>
  </conditionalFormatting>
  <conditionalFormatting sqref="AF97:AF100">
    <cfRule type="dataBar" priority="645">
      <dataBar>
        <cfvo type="min"/>
        <cfvo type="max"/>
        <color rgb="FFF08D5B"/>
      </dataBar>
    </cfRule>
  </conditionalFormatting>
  <conditionalFormatting sqref="AF106:AF108">
    <cfRule type="dataBar" priority="714">
      <dataBar>
        <cfvo type="min"/>
        <cfvo type="max"/>
        <color rgb="FFF08D5B"/>
      </dataBar>
    </cfRule>
  </conditionalFormatting>
  <conditionalFormatting sqref="AF114:AF120">
    <cfRule type="dataBar" priority="783">
      <dataBar>
        <cfvo type="min"/>
        <cfvo type="max"/>
        <color rgb="FFF08D5B"/>
      </dataBar>
    </cfRule>
  </conditionalFormatting>
  <conditionalFormatting sqref="AF126:AF133">
    <cfRule type="dataBar" priority="852">
      <dataBar>
        <cfvo type="min"/>
        <cfvo type="max"/>
        <color rgb="FFF08D5B"/>
      </dataBar>
    </cfRule>
  </conditionalFormatting>
  <conditionalFormatting sqref="AF139:AF142">
    <cfRule type="dataBar" priority="921">
      <dataBar>
        <cfvo type="min"/>
        <cfvo type="max"/>
        <color rgb="FFF08D5B"/>
      </dataBar>
    </cfRule>
  </conditionalFormatting>
  <conditionalFormatting sqref="AF148:AF150">
    <cfRule type="dataBar" priority="990">
      <dataBar>
        <cfvo type="min"/>
        <cfvo type="max"/>
        <color rgb="FFF08D5B"/>
      </dataBar>
    </cfRule>
  </conditionalFormatting>
  <conditionalFormatting sqref="AF156:AF162">
    <cfRule type="dataBar" priority="1059">
      <dataBar>
        <cfvo type="min"/>
        <cfvo type="max"/>
        <color rgb="FFF08D5B"/>
      </dataBar>
    </cfRule>
  </conditionalFormatting>
  <conditionalFormatting sqref="AF168:AF175">
    <cfRule type="dataBar" priority="1128">
      <dataBar>
        <cfvo type="min"/>
        <cfvo type="max"/>
        <color rgb="FFF08D5B"/>
      </dataBar>
    </cfRule>
  </conditionalFormatting>
  <conditionalFormatting sqref="AF181:AF184">
    <cfRule type="dataBar" priority="1197">
      <dataBar>
        <cfvo type="min"/>
        <cfvo type="max"/>
        <color rgb="FFF08D5B"/>
      </dataBar>
    </cfRule>
  </conditionalFormatting>
  <conditionalFormatting sqref="AF190:AF192">
    <cfRule type="dataBar" priority="1266">
      <dataBar>
        <cfvo type="min"/>
        <cfvo type="max"/>
        <color rgb="FFF08D5B"/>
      </dataBar>
    </cfRule>
  </conditionalFormatting>
  <conditionalFormatting sqref="AF198:AF204">
    <cfRule type="dataBar" priority="1335">
      <dataBar>
        <cfvo type="min"/>
        <cfvo type="max"/>
        <color rgb="FFF08D5B"/>
      </dataBar>
    </cfRule>
  </conditionalFormatting>
  <conditionalFormatting sqref="AF210:AF212">
    <cfRule type="dataBar" priority="1404">
      <dataBar>
        <cfvo type="min"/>
        <cfvo type="max"/>
        <color rgb="FFF08D5B"/>
      </dataBar>
    </cfRule>
  </conditionalFormatting>
  <conditionalFormatting sqref="AF218:AF226">
    <cfRule type="dataBar" priority="1473">
      <dataBar>
        <cfvo type="min"/>
        <cfvo type="max"/>
        <color rgb="FFF08D5B"/>
      </dataBar>
    </cfRule>
  </conditionalFormatting>
  <conditionalFormatting sqref="AF232:AF240">
    <cfRule type="dataBar" priority="1542">
      <dataBar>
        <cfvo type="min"/>
        <cfvo type="max"/>
        <color rgb="FFF08D5B"/>
      </dataBar>
    </cfRule>
  </conditionalFormatting>
  <conditionalFormatting sqref="AF246:AF254">
    <cfRule type="dataBar" priority="1611">
      <dataBar>
        <cfvo type="min"/>
        <cfvo type="max"/>
        <color rgb="FFF08D5B"/>
      </dataBar>
    </cfRule>
  </conditionalFormatting>
  <conditionalFormatting sqref="AF260:AF268">
    <cfRule type="dataBar" priority="1680">
      <dataBar>
        <cfvo type="min"/>
        <cfvo type="max"/>
        <color rgb="FFF08D5B"/>
      </dataBar>
    </cfRule>
  </conditionalFormatting>
  <conditionalFormatting sqref="AF274:AF276">
    <cfRule type="dataBar" priority="1749">
      <dataBar>
        <cfvo type="min"/>
        <cfvo type="max"/>
        <color rgb="FFF08D5B"/>
      </dataBar>
    </cfRule>
  </conditionalFormatting>
  <conditionalFormatting sqref="AF282:AF287">
    <cfRule type="dataBar" priority="1818">
      <dataBar>
        <cfvo type="min"/>
        <cfvo type="max"/>
        <color rgb="FFF08D5B"/>
      </dataBar>
    </cfRule>
  </conditionalFormatting>
  <conditionalFormatting sqref="AF293:AF300">
    <cfRule type="dataBar" priority="1887">
      <dataBar>
        <cfvo type="min"/>
        <cfvo type="max"/>
        <color rgb="FFF08D5B"/>
      </dataBar>
    </cfRule>
  </conditionalFormatting>
  <conditionalFormatting sqref="AF306:AF313">
    <cfRule type="dataBar" priority="1956">
      <dataBar>
        <cfvo type="min"/>
        <cfvo type="max"/>
        <color rgb="FFF08D5B"/>
      </dataBar>
    </cfRule>
  </conditionalFormatting>
  <conditionalFormatting sqref="AH6:AH8">
    <cfRule type="dataBar" priority="25">
      <dataBar>
        <cfvo type="min"/>
        <cfvo type="max"/>
        <color rgb="FF628DC4"/>
      </dataBar>
    </cfRule>
  </conditionalFormatting>
  <conditionalFormatting sqref="AH14:AH16">
    <cfRule type="dataBar" priority="94">
      <dataBar>
        <cfvo type="min"/>
        <cfvo type="max"/>
        <color rgb="FF628DC4"/>
      </dataBar>
    </cfRule>
  </conditionalFormatting>
  <conditionalFormatting sqref="AH22:AH24">
    <cfRule type="dataBar" priority="163">
      <dataBar>
        <cfvo type="min"/>
        <cfvo type="max"/>
        <color rgb="FF628DC4"/>
      </dataBar>
    </cfRule>
  </conditionalFormatting>
  <conditionalFormatting sqref="AH30:AH36">
    <cfRule type="dataBar" priority="232">
      <dataBar>
        <cfvo type="min"/>
        <cfvo type="max"/>
        <color rgb="FF628DC4"/>
      </dataBar>
    </cfRule>
  </conditionalFormatting>
  <conditionalFormatting sqref="AH42:AH49">
    <cfRule type="dataBar" priority="301">
      <dataBar>
        <cfvo type="min"/>
        <cfvo type="max"/>
        <color rgb="FF628DC4"/>
      </dataBar>
    </cfRule>
  </conditionalFormatting>
  <conditionalFormatting sqref="AH55:AH58">
    <cfRule type="dataBar" priority="370">
      <dataBar>
        <cfvo type="min"/>
        <cfvo type="max"/>
        <color rgb="FF628DC4"/>
      </dataBar>
    </cfRule>
  </conditionalFormatting>
  <conditionalFormatting sqref="AH64:AH66">
    <cfRule type="dataBar" priority="439">
      <dataBar>
        <cfvo type="min"/>
        <cfvo type="max"/>
        <color rgb="FF628DC4"/>
      </dataBar>
    </cfRule>
  </conditionalFormatting>
  <conditionalFormatting sqref="AH72:AH78">
    <cfRule type="dataBar" priority="508">
      <dataBar>
        <cfvo type="min"/>
        <cfvo type="max"/>
        <color rgb="FF628DC4"/>
      </dataBar>
    </cfRule>
  </conditionalFormatting>
  <conditionalFormatting sqref="AH84:AH91">
    <cfRule type="dataBar" priority="577">
      <dataBar>
        <cfvo type="min"/>
        <cfvo type="max"/>
        <color rgb="FF628DC4"/>
      </dataBar>
    </cfRule>
  </conditionalFormatting>
  <conditionalFormatting sqref="AH97:AH100">
    <cfRule type="dataBar" priority="646">
      <dataBar>
        <cfvo type="min"/>
        <cfvo type="max"/>
        <color rgb="FF628DC4"/>
      </dataBar>
    </cfRule>
  </conditionalFormatting>
  <conditionalFormatting sqref="AH106:AH108">
    <cfRule type="dataBar" priority="715">
      <dataBar>
        <cfvo type="min"/>
        <cfvo type="max"/>
        <color rgb="FF628DC4"/>
      </dataBar>
    </cfRule>
  </conditionalFormatting>
  <conditionalFormatting sqref="AH114:AH120">
    <cfRule type="dataBar" priority="784">
      <dataBar>
        <cfvo type="min"/>
        <cfvo type="max"/>
        <color rgb="FF628DC4"/>
      </dataBar>
    </cfRule>
  </conditionalFormatting>
  <conditionalFormatting sqref="AH126:AH133">
    <cfRule type="dataBar" priority="853">
      <dataBar>
        <cfvo type="min"/>
        <cfvo type="max"/>
        <color rgb="FF628DC4"/>
      </dataBar>
    </cfRule>
  </conditionalFormatting>
  <conditionalFormatting sqref="AH139:AH142">
    <cfRule type="dataBar" priority="922">
      <dataBar>
        <cfvo type="min"/>
        <cfvo type="max"/>
        <color rgb="FF628DC4"/>
      </dataBar>
    </cfRule>
  </conditionalFormatting>
  <conditionalFormatting sqref="AH148:AH150">
    <cfRule type="dataBar" priority="991">
      <dataBar>
        <cfvo type="min"/>
        <cfvo type="max"/>
        <color rgb="FF628DC4"/>
      </dataBar>
    </cfRule>
  </conditionalFormatting>
  <conditionalFormatting sqref="AH156:AH162">
    <cfRule type="dataBar" priority="1060">
      <dataBar>
        <cfvo type="min"/>
        <cfvo type="max"/>
        <color rgb="FF628DC4"/>
      </dataBar>
    </cfRule>
  </conditionalFormatting>
  <conditionalFormatting sqref="AH168:AH175">
    <cfRule type="dataBar" priority="1129">
      <dataBar>
        <cfvo type="min"/>
        <cfvo type="max"/>
        <color rgb="FF628DC4"/>
      </dataBar>
    </cfRule>
  </conditionalFormatting>
  <conditionalFormatting sqref="AH181:AH184">
    <cfRule type="dataBar" priority="1198">
      <dataBar>
        <cfvo type="min"/>
        <cfvo type="max"/>
        <color rgb="FF628DC4"/>
      </dataBar>
    </cfRule>
  </conditionalFormatting>
  <conditionalFormatting sqref="AH190:AH192">
    <cfRule type="dataBar" priority="1267">
      <dataBar>
        <cfvo type="min"/>
        <cfvo type="max"/>
        <color rgb="FF628DC4"/>
      </dataBar>
    </cfRule>
  </conditionalFormatting>
  <conditionalFormatting sqref="AH198:AH204">
    <cfRule type="dataBar" priority="1336">
      <dataBar>
        <cfvo type="min"/>
        <cfvo type="max"/>
        <color rgb="FF628DC4"/>
      </dataBar>
    </cfRule>
  </conditionalFormatting>
  <conditionalFormatting sqref="AH210:AH212">
    <cfRule type="dataBar" priority="1405">
      <dataBar>
        <cfvo type="min"/>
        <cfvo type="max"/>
        <color rgb="FF628DC4"/>
      </dataBar>
    </cfRule>
  </conditionalFormatting>
  <conditionalFormatting sqref="AH218:AH226">
    <cfRule type="dataBar" priority="1474">
      <dataBar>
        <cfvo type="min"/>
        <cfvo type="max"/>
        <color rgb="FF628DC4"/>
      </dataBar>
    </cfRule>
  </conditionalFormatting>
  <conditionalFormatting sqref="AH232:AH240">
    <cfRule type="dataBar" priority="1543">
      <dataBar>
        <cfvo type="min"/>
        <cfvo type="max"/>
        <color rgb="FF628DC4"/>
      </dataBar>
    </cfRule>
  </conditionalFormatting>
  <conditionalFormatting sqref="AH246:AH254">
    <cfRule type="dataBar" priority="1612">
      <dataBar>
        <cfvo type="min"/>
        <cfvo type="max"/>
        <color rgb="FF628DC4"/>
      </dataBar>
    </cfRule>
  </conditionalFormatting>
  <conditionalFormatting sqref="AH260:AH268">
    <cfRule type="dataBar" priority="1681">
      <dataBar>
        <cfvo type="min"/>
        <cfvo type="max"/>
        <color rgb="FF628DC4"/>
      </dataBar>
    </cfRule>
  </conditionalFormatting>
  <conditionalFormatting sqref="AH274:AH276">
    <cfRule type="dataBar" priority="1750">
      <dataBar>
        <cfvo type="min"/>
        <cfvo type="max"/>
        <color rgb="FF628DC4"/>
      </dataBar>
    </cfRule>
  </conditionalFormatting>
  <conditionalFormatting sqref="AH282:AH287">
    <cfRule type="dataBar" priority="1819">
      <dataBar>
        <cfvo type="min"/>
        <cfvo type="max"/>
        <color rgb="FF628DC4"/>
      </dataBar>
    </cfRule>
  </conditionalFormatting>
  <conditionalFormatting sqref="AH293:AH300">
    <cfRule type="dataBar" priority="1888">
      <dataBar>
        <cfvo type="min"/>
        <cfvo type="max"/>
        <color rgb="FF628DC4"/>
      </dataBar>
    </cfRule>
  </conditionalFormatting>
  <conditionalFormatting sqref="AH306:AH313">
    <cfRule type="dataBar" priority="1957">
      <dataBar>
        <cfvo type="min"/>
        <cfvo type="max"/>
        <color rgb="FF628DC4"/>
      </dataBar>
    </cfRule>
  </conditionalFormatting>
  <conditionalFormatting sqref="AI6:AI8">
    <cfRule type="dataBar" priority="26">
      <dataBar>
        <cfvo type="min"/>
        <cfvo type="max"/>
        <color rgb="FFFFB628"/>
      </dataBar>
    </cfRule>
  </conditionalFormatting>
  <conditionalFormatting sqref="AI14:AI16">
    <cfRule type="dataBar" priority="95">
      <dataBar>
        <cfvo type="min"/>
        <cfvo type="max"/>
        <color rgb="FFFFB628"/>
      </dataBar>
    </cfRule>
  </conditionalFormatting>
  <conditionalFormatting sqref="AI22:AI24">
    <cfRule type="dataBar" priority="164">
      <dataBar>
        <cfvo type="min"/>
        <cfvo type="max"/>
        <color rgb="FFFFB628"/>
      </dataBar>
    </cfRule>
  </conditionalFormatting>
  <conditionalFormatting sqref="AI30:AI36">
    <cfRule type="dataBar" priority="233">
      <dataBar>
        <cfvo type="min"/>
        <cfvo type="max"/>
        <color rgb="FFFFB628"/>
      </dataBar>
    </cfRule>
  </conditionalFormatting>
  <conditionalFormatting sqref="AI42:AI49">
    <cfRule type="dataBar" priority="302">
      <dataBar>
        <cfvo type="min"/>
        <cfvo type="max"/>
        <color rgb="FFFFB628"/>
      </dataBar>
    </cfRule>
  </conditionalFormatting>
  <conditionalFormatting sqref="AI55:AI58">
    <cfRule type="dataBar" priority="371">
      <dataBar>
        <cfvo type="min"/>
        <cfvo type="max"/>
        <color rgb="FFFFB628"/>
      </dataBar>
    </cfRule>
  </conditionalFormatting>
  <conditionalFormatting sqref="AI64:AI66">
    <cfRule type="dataBar" priority="440">
      <dataBar>
        <cfvo type="min"/>
        <cfvo type="max"/>
        <color rgb="FFFFB628"/>
      </dataBar>
    </cfRule>
  </conditionalFormatting>
  <conditionalFormatting sqref="AI72:AI78">
    <cfRule type="dataBar" priority="509">
      <dataBar>
        <cfvo type="min"/>
        <cfvo type="max"/>
        <color rgb="FFFFB628"/>
      </dataBar>
    </cfRule>
  </conditionalFormatting>
  <conditionalFormatting sqref="AI84:AI91">
    <cfRule type="dataBar" priority="578">
      <dataBar>
        <cfvo type="min"/>
        <cfvo type="max"/>
        <color rgb="FFFFB628"/>
      </dataBar>
    </cfRule>
  </conditionalFormatting>
  <conditionalFormatting sqref="AI97:AI100">
    <cfRule type="dataBar" priority="647">
      <dataBar>
        <cfvo type="min"/>
        <cfvo type="max"/>
        <color rgb="FFFFB628"/>
      </dataBar>
    </cfRule>
  </conditionalFormatting>
  <conditionalFormatting sqref="AI106:AI108">
    <cfRule type="dataBar" priority="716">
      <dataBar>
        <cfvo type="min"/>
        <cfvo type="max"/>
        <color rgb="FFFFB628"/>
      </dataBar>
    </cfRule>
  </conditionalFormatting>
  <conditionalFormatting sqref="AI114:AI120">
    <cfRule type="dataBar" priority="785">
      <dataBar>
        <cfvo type="min"/>
        <cfvo type="max"/>
        <color rgb="FFFFB628"/>
      </dataBar>
    </cfRule>
  </conditionalFormatting>
  <conditionalFormatting sqref="AI126:AI133">
    <cfRule type="dataBar" priority="854">
      <dataBar>
        <cfvo type="min"/>
        <cfvo type="max"/>
        <color rgb="FFFFB628"/>
      </dataBar>
    </cfRule>
  </conditionalFormatting>
  <conditionalFormatting sqref="AI139:AI142">
    <cfRule type="dataBar" priority="923">
      <dataBar>
        <cfvo type="min"/>
        <cfvo type="max"/>
        <color rgb="FFFFB628"/>
      </dataBar>
    </cfRule>
  </conditionalFormatting>
  <conditionalFormatting sqref="AI148:AI150">
    <cfRule type="dataBar" priority="992">
      <dataBar>
        <cfvo type="min"/>
        <cfvo type="max"/>
        <color rgb="FFFFB628"/>
      </dataBar>
    </cfRule>
  </conditionalFormatting>
  <conditionalFormatting sqref="AI156:AI162">
    <cfRule type="dataBar" priority="1061">
      <dataBar>
        <cfvo type="min"/>
        <cfvo type="max"/>
        <color rgb="FFFFB628"/>
      </dataBar>
    </cfRule>
  </conditionalFormatting>
  <conditionalFormatting sqref="AI168:AI175">
    <cfRule type="dataBar" priority="1130">
      <dataBar>
        <cfvo type="min"/>
        <cfvo type="max"/>
        <color rgb="FFFFB628"/>
      </dataBar>
    </cfRule>
  </conditionalFormatting>
  <conditionalFormatting sqref="AI181:AI184">
    <cfRule type="dataBar" priority="1199">
      <dataBar>
        <cfvo type="min"/>
        <cfvo type="max"/>
        <color rgb="FFFFB628"/>
      </dataBar>
    </cfRule>
  </conditionalFormatting>
  <conditionalFormatting sqref="AI190:AI192">
    <cfRule type="dataBar" priority="1268">
      <dataBar>
        <cfvo type="min"/>
        <cfvo type="max"/>
        <color rgb="FFFFB628"/>
      </dataBar>
    </cfRule>
  </conditionalFormatting>
  <conditionalFormatting sqref="AI198:AI204">
    <cfRule type="dataBar" priority="1337">
      <dataBar>
        <cfvo type="min"/>
        <cfvo type="max"/>
        <color rgb="FFFFB628"/>
      </dataBar>
    </cfRule>
  </conditionalFormatting>
  <conditionalFormatting sqref="AI210:AI212">
    <cfRule type="dataBar" priority="1406">
      <dataBar>
        <cfvo type="min"/>
        <cfvo type="max"/>
        <color rgb="FFFFB628"/>
      </dataBar>
    </cfRule>
  </conditionalFormatting>
  <conditionalFormatting sqref="AI218:AI226">
    <cfRule type="dataBar" priority="1475">
      <dataBar>
        <cfvo type="min"/>
        <cfvo type="max"/>
        <color rgb="FFFFB628"/>
      </dataBar>
    </cfRule>
  </conditionalFormatting>
  <conditionalFormatting sqref="AI232:AI240">
    <cfRule type="dataBar" priority="1544">
      <dataBar>
        <cfvo type="min"/>
        <cfvo type="max"/>
        <color rgb="FFFFB628"/>
      </dataBar>
    </cfRule>
  </conditionalFormatting>
  <conditionalFormatting sqref="AI246:AI254">
    <cfRule type="dataBar" priority="1613">
      <dataBar>
        <cfvo type="min"/>
        <cfvo type="max"/>
        <color rgb="FFFFB628"/>
      </dataBar>
    </cfRule>
  </conditionalFormatting>
  <conditionalFormatting sqref="AI260:AI268">
    <cfRule type="dataBar" priority="1682">
      <dataBar>
        <cfvo type="min"/>
        <cfvo type="max"/>
        <color rgb="FFFFB628"/>
      </dataBar>
    </cfRule>
  </conditionalFormatting>
  <conditionalFormatting sqref="AI274:AI276">
    <cfRule type="dataBar" priority="1751">
      <dataBar>
        <cfvo type="min"/>
        <cfvo type="max"/>
        <color rgb="FFFFB628"/>
      </dataBar>
    </cfRule>
  </conditionalFormatting>
  <conditionalFormatting sqref="AI282:AI287">
    <cfRule type="dataBar" priority="1820">
      <dataBar>
        <cfvo type="min"/>
        <cfvo type="max"/>
        <color rgb="FFFFB628"/>
      </dataBar>
    </cfRule>
  </conditionalFormatting>
  <conditionalFormatting sqref="AI293:AI300">
    <cfRule type="dataBar" priority="1889">
      <dataBar>
        <cfvo type="min"/>
        <cfvo type="max"/>
        <color rgb="FFFFB628"/>
      </dataBar>
    </cfRule>
  </conditionalFormatting>
  <conditionalFormatting sqref="AI306:AI313">
    <cfRule type="dataBar" priority="1958">
      <dataBar>
        <cfvo type="min"/>
        <cfvo type="max"/>
        <color rgb="FFFFB628"/>
      </dataBar>
    </cfRule>
  </conditionalFormatting>
  <conditionalFormatting sqref="AJ6:AJ8">
    <cfRule type="dataBar" priority="27">
      <dataBar>
        <cfvo type="min"/>
        <cfvo type="max"/>
        <color rgb="FFF08D5B"/>
      </dataBar>
    </cfRule>
  </conditionalFormatting>
  <conditionalFormatting sqref="AJ14:AJ16">
    <cfRule type="dataBar" priority="96">
      <dataBar>
        <cfvo type="min"/>
        <cfvo type="max"/>
        <color rgb="FFF08D5B"/>
      </dataBar>
    </cfRule>
  </conditionalFormatting>
  <conditionalFormatting sqref="AJ22:AJ24">
    <cfRule type="dataBar" priority="165">
      <dataBar>
        <cfvo type="min"/>
        <cfvo type="max"/>
        <color rgb="FFF08D5B"/>
      </dataBar>
    </cfRule>
  </conditionalFormatting>
  <conditionalFormatting sqref="AJ30:AJ36">
    <cfRule type="dataBar" priority="234">
      <dataBar>
        <cfvo type="min"/>
        <cfvo type="max"/>
        <color rgb="FFF08D5B"/>
      </dataBar>
    </cfRule>
  </conditionalFormatting>
  <conditionalFormatting sqref="AJ42:AJ49">
    <cfRule type="dataBar" priority="303">
      <dataBar>
        <cfvo type="min"/>
        <cfvo type="max"/>
        <color rgb="FFF08D5B"/>
      </dataBar>
    </cfRule>
  </conditionalFormatting>
  <conditionalFormatting sqref="AJ55:AJ58">
    <cfRule type="dataBar" priority="372">
      <dataBar>
        <cfvo type="min"/>
        <cfvo type="max"/>
        <color rgb="FFF08D5B"/>
      </dataBar>
    </cfRule>
  </conditionalFormatting>
  <conditionalFormatting sqref="AJ64:AJ66">
    <cfRule type="dataBar" priority="441">
      <dataBar>
        <cfvo type="min"/>
        <cfvo type="max"/>
        <color rgb="FFF08D5B"/>
      </dataBar>
    </cfRule>
  </conditionalFormatting>
  <conditionalFormatting sqref="AJ72:AJ78">
    <cfRule type="dataBar" priority="510">
      <dataBar>
        <cfvo type="min"/>
        <cfvo type="max"/>
        <color rgb="FFF08D5B"/>
      </dataBar>
    </cfRule>
  </conditionalFormatting>
  <conditionalFormatting sqref="AJ84:AJ91">
    <cfRule type="dataBar" priority="579">
      <dataBar>
        <cfvo type="min"/>
        <cfvo type="max"/>
        <color rgb="FFF08D5B"/>
      </dataBar>
    </cfRule>
  </conditionalFormatting>
  <conditionalFormatting sqref="AJ97:AJ100">
    <cfRule type="dataBar" priority="648">
      <dataBar>
        <cfvo type="min"/>
        <cfvo type="max"/>
        <color rgb="FFF08D5B"/>
      </dataBar>
    </cfRule>
  </conditionalFormatting>
  <conditionalFormatting sqref="AJ106:AJ108">
    <cfRule type="dataBar" priority="717">
      <dataBar>
        <cfvo type="min"/>
        <cfvo type="max"/>
        <color rgb="FFF08D5B"/>
      </dataBar>
    </cfRule>
  </conditionalFormatting>
  <conditionalFormatting sqref="AJ114:AJ120">
    <cfRule type="dataBar" priority="786">
      <dataBar>
        <cfvo type="min"/>
        <cfvo type="max"/>
        <color rgb="FFF08D5B"/>
      </dataBar>
    </cfRule>
  </conditionalFormatting>
  <conditionalFormatting sqref="AJ126:AJ133">
    <cfRule type="dataBar" priority="855">
      <dataBar>
        <cfvo type="min"/>
        <cfvo type="max"/>
        <color rgb="FFF08D5B"/>
      </dataBar>
    </cfRule>
  </conditionalFormatting>
  <conditionalFormatting sqref="AJ139:AJ142">
    <cfRule type="dataBar" priority="924">
      <dataBar>
        <cfvo type="min"/>
        <cfvo type="max"/>
        <color rgb="FFF08D5B"/>
      </dataBar>
    </cfRule>
  </conditionalFormatting>
  <conditionalFormatting sqref="AJ148:AJ150">
    <cfRule type="dataBar" priority="993">
      <dataBar>
        <cfvo type="min"/>
        <cfvo type="max"/>
        <color rgb="FFF08D5B"/>
      </dataBar>
    </cfRule>
  </conditionalFormatting>
  <conditionalFormatting sqref="AJ156:AJ162">
    <cfRule type="dataBar" priority="1062">
      <dataBar>
        <cfvo type="min"/>
        <cfvo type="max"/>
        <color rgb="FFF08D5B"/>
      </dataBar>
    </cfRule>
  </conditionalFormatting>
  <conditionalFormatting sqref="AJ168:AJ175">
    <cfRule type="dataBar" priority="1131">
      <dataBar>
        <cfvo type="min"/>
        <cfvo type="max"/>
        <color rgb="FFF08D5B"/>
      </dataBar>
    </cfRule>
  </conditionalFormatting>
  <conditionalFormatting sqref="AJ181:AJ184">
    <cfRule type="dataBar" priority="1200">
      <dataBar>
        <cfvo type="min"/>
        <cfvo type="max"/>
        <color rgb="FFF08D5B"/>
      </dataBar>
    </cfRule>
  </conditionalFormatting>
  <conditionalFormatting sqref="AJ190:AJ192">
    <cfRule type="dataBar" priority="1269">
      <dataBar>
        <cfvo type="min"/>
        <cfvo type="max"/>
        <color rgb="FFF08D5B"/>
      </dataBar>
    </cfRule>
  </conditionalFormatting>
  <conditionalFormatting sqref="AJ198:AJ204">
    <cfRule type="dataBar" priority="1338">
      <dataBar>
        <cfvo type="min"/>
        <cfvo type="max"/>
        <color rgb="FFF08D5B"/>
      </dataBar>
    </cfRule>
  </conditionalFormatting>
  <conditionalFormatting sqref="AJ210:AJ212">
    <cfRule type="dataBar" priority="1407">
      <dataBar>
        <cfvo type="min"/>
        <cfvo type="max"/>
        <color rgb="FFF08D5B"/>
      </dataBar>
    </cfRule>
  </conditionalFormatting>
  <conditionalFormatting sqref="AJ218:AJ226">
    <cfRule type="dataBar" priority="1476">
      <dataBar>
        <cfvo type="min"/>
        <cfvo type="max"/>
        <color rgb="FFF08D5B"/>
      </dataBar>
    </cfRule>
  </conditionalFormatting>
  <conditionalFormatting sqref="AJ232:AJ240">
    <cfRule type="dataBar" priority="1545">
      <dataBar>
        <cfvo type="min"/>
        <cfvo type="max"/>
        <color rgb="FFF08D5B"/>
      </dataBar>
    </cfRule>
  </conditionalFormatting>
  <conditionalFormatting sqref="AJ246:AJ254">
    <cfRule type="dataBar" priority="1614">
      <dataBar>
        <cfvo type="min"/>
        <cfvo type="max"/>
        <color rgb="FFF08D5B"/>
      </dataBar>
    </cfRule>
  </conditionalFormatting>
  <conditionalFormatting sqref="AJ260:AJ268">
    <cfRule type="dataBar" priority="1683">
      <dataBar>
        <cfvo type="min"/>
        <cfvo type="max"/>
        <color rgb="FFF08D5B"/>
      </dataBar>
    </cfRule>
  </conditionalFormatting>
  <conditionalFormatting sqref="AJ274:AJ276">
    <cfRule type="dataBar" priority="1752">
      <dataBar>
        <cfvo type="min"/>
        <cfvo type="max"/>
        <color rgb="FFF08D5B"/>
      </dataBar>
    </cfRule>
  </conditionalFormatting>
  <conditionalFormatting sqref="AJ282:AJ287">
    <cfRule type="dataBar" priority="1821">
      <dataBar>
        <cfvo type="min"/>
        <cfvo type="max"/>
        <color rgb="FFF08D5B"/>
      </dataBar>
    </cfRule>
  </conditionalFormatting>
  <conditionalFormatting sqref="AJ293:AJ300">
    <cfRule type="dataBar" priority="1890">
      <dataBar>
        <cfvo type="min"/>
        <cfvo type="max"/>
        <color rgb="FFF08D5B"/>
      </dataBar>
    </cfRule>
  </conditionalFormatting>
  <conditionalFormatting sqref="AJ306:AJ313">
    <cfRule type="dataBar" priority="1959">
      <dataBar>
        <cfvo type="min"/>
        <cfvo type="max"/>
        <color rgb="FFF08D5B"/>
      </dataBar>
    </cfRule>
  </conditionalFormatting>
  <conditionalFormatting sqref="AL6:AL8">
    <cfRule type="dataBar" priority="28">
      <dataBar>
        <cfvo type="min"/>
        <cfvo type="max"/>
        <color rgb="FF628DC4"/>
      </dataBar>
    </cfRule>
  </conditionalFormatting>
  <conditionalFormatting sqref="AL14:AL16">
    <cfRule type="dataBar" priority="97">
      <dataBar>
        <cfvo type="min"/>
        <cfvo type="max"/>
        <color rgb="FF628DC4"/>
      </dataBar>
    </cfRule>
  </conditionalFormatting>
  <conditionalFormatting sqref="AL22:AL24">
    <cfRule type="dataBar" priority="166">
      <dataBar>
        <cfvo type="min"/>
        <cfvo type="max"/>
        <color rgb="FF628DC4"/>
      </dataBar>
    </cfRule>
  </conditionalFormatting>
  <conditionalFormatting sqref="AL30:AL36">
    <cfRule type="dataBar" priority="235">
      <dataBar>
        <cfvo type="min"/>
        <cfvo type="max"/>
        <color rgb="FF628DC4"/>
      </dataBar>
    </cfRule>
  </conditionalFormatting>
  <conditionalFormatting sqref="AL42:AL49">
    <cfRule type="dataBar" priority="304">
      <dataBar>
        <cfvo type="min"/>
        <cfvo type="max"/>
        <color rgb="FF628DC4"/>
      </dataBar>
    </cfRule>
  </conditionalFormatting>
  <conditionalFormatting sqref="AL55:AL58">
    <cfRule type="dataBar" priority="373">
      <dataBar>
        <cfvo type="min"/>
        <cfvo type="max"/>
        <color rgb="FF628DC4"/>
      </dataBar>
    </cfRule>
  </conditionalFormatting>
  <conditionalFormatting sqref="AL64:AL66">
    <cfRule type="dataBar" priority="442">
      <dataBar>
        <cfvo type="min"/>
        <cfvo type="max"/>
        <color rgb="FF628DC4"/>
      </dataBar>
    </cfRule>
  </conditionalFormatting>
  <conditionalFormatting sqref="AL72:AL78">
    <cfRule type="dataBar" priority="511">
      <dataBar>
        <cfvo type="min"/>
        <cfvo type="max"/>
        <color rgb="FF628DC4"/>
      </dataBar>
    </cfRule>
  </conditionalFormatting>
  <conditionalFormatting sqref="AL84:AL91">
    <cfRule type="dataBar" priority="580">
      <dataBar>
        <cfvo type="min"/>
        <cfvo type="max"/>
        <color rgb="FF628DC4"/>
      </dataBar>
    </cfRule>
  </conditionalFormatting>
  <conditionalFormatting sqref="AL97:AL100">
    <cfRule type="dataBar" priority="649">
      <dataBar>
        <cfvo type="min"/>
        <cfvo type="max"/>
        <color rgb="FF628DC4"/>
      </dataBar>
    </cfRule>
  </conditionalFormatting>
  <conditionalFormatting sqref="AL106:AL108">
    <cfRule type="dataBar" priority="718">
      <dataBar>
        <cfvo type="min"/>
        <cfvo type="max"/>
        <color rgb="FF628DC4"/>
      </dataBar>
    </cfRule>
  </conditionalFormatting>
  <conditionalFormatting sqref="AL114:AL120">
    <cfRule type="dataBar" priority="787">
      <dataBar>
        <cfvo type="min"/>
        <cfvo type="max"/>
        <color rgb="FF628DC4"/>
      </dataBar>
    </cfRule>
  </conditionalFormatting>
  <conditionalFormatting sqref="AL126:AL133">
    <cfRule type="dataBar" priority="856">
      <dataBar>
        <cfvo type="min"/>
        <cfvo type="max"/>
        <color rgb="FF628DC4"/>
      </dataBar>
    </cfRule>
  </conditionalFormatting>
  <conditionalFormatting sqref="AL139:AL142">
    <cfRule type="dataBar" priority="925">
      <dataBar>
        <cfvo type="min"/>
        <cfvo type="max"/>
        <color rgb="FF628DC4"/>
      </dataBar>
    </cfRule>
  </conditionalFormatting>
  <conditionalFormatting sqref="AL148:AL150">
    <cfRule type="dataBar" priority="994">
      <dataBar>
        <cfvo type="min"/>
        <cfvo type="max"/>
        <color rgb="FF628DC4"/>
      </dataBar>
    </cfRule>
  </conditionalFormatting>
  <conditionalFormatting sqref="AL156:AL162">
    <cfRule type="dataBar" priority="1063">
      <dataBar>
        <cfvo type="min"/>
        <cfvo type="max"/>
        <color rgb="FF628DC4"/>
      </dataBar>
    </cfRule>
  </conditionalFormatting>
  <conditionalFormatting sqref="AL168:AL175">
    <cfRule type="dataBar" priority="1132">
      <dataBar>
        <cfvo type="min"/>
        <cfvo type="max"/>
        <color rgb="FF628DC4"/>
      </dataBar>
    </cfRule>
  </conditionalFormatting>
  <conditionalFormatting sqref="AL181:AL184">
    <cfRule type="dataBar" priority="1201">
      <dataBar>
        <cfvo type="min"/>
        <cfvo type="max"/>
        <color rgb="FF628DC4"/>
      </dataBar>
    </cfRule>
  </conditionalFormatting>
  <conditionalFormatting sqref="AL190:AL192">
    <cfRule type="dataBar" priority="1270">
      <dataBar>
        <cfvo type="min"/>
        <cfvo type="max"/>
        <color rgb="FF628DC4"/>
      </dataBar>
    </cfRule>
  </conditionalFormatting>
  <conditionalFormatting sqref="AL198:AL204">
    <cfRule type="dataBar" priority="1339">
      <dataBar>
        <cfvo type="min"/>
        <cfvo type="max"/>
        <color rgb="FF628DC4"/>
      </dataBar>
    </cfRule>
  </conditionalFormatting>
  <conditionalFormatting sqref="AL210:AL212">
    <cfRule type="dataBar" priority="1408">
      <dataBar>
        <cfvo type="min"/>
        <cfvo type="max"/>
        <color rgb="FF628DC4"/>
      </dataBar>
    </cfRule>
  </conditionalFormatting>
  <conditionalFormatting sqref="AL218:AL226">
    <cfRule type="dataBar" priority="1477">
      <dataBar>
        <cfvo type="min"/>
        <cfvo type="max"/>
        <color rgb="FF628DC4"/>
      </dataBar>
    </cfRule>
  </conditionalFormatting>
  <conditionalFormatting sqref="AL232:AL240">
    <cfRule type="dataBar" priority="1546">
      <dataBar>
        <cfvo type="min"/>
        <cfvo type="max"/>
        <color rgb="FF628DC4"/>
      </dataBar>
    </cfRule>
  </conditionalFormatting>
  <conditionalFormatting sqref="AL246:AL254">
    <cfRule type="dataBar" priority="1615">
      <dataBar>
        <cfvo type="min"/>
        <cfvo type="max"/>
        <color rgb="FF628DC4"/>
      </dataBar>
    </cfRule>
  </conditionalFormatting>
  <conditionalFormatting sqref="AL260:AL268">
    <cfRule type="dataBar" priority="1684">
      <dataBar>
        <cfvo type="min"/>
        <cfvo type="max"/>
        <color rgb="FF628DC4"/>
      </dataBar>
    </cfRule>
  </conditionalFormatting>
  <conditionalFormatting sqref="AL274:AL276">
    <cfRule type="dataBar" priority="1753">
      <dataBar>
        <cfvo type="min"/>
        <cfvo type="max"/>
        <color rgb="FF628DC4"/>
      </dataBar>
    </cfRule>
  </conditionalFormatting>
  <conditionalFormatting sqref="AL282:AL287">
    <cfRule type="dataBar" priority="1822">
      <dataBar>
        <cfvo type="min"/>
        <cfvo type="max"/>
        <color rgb="FF628DC4"/>
      </dataBar>
    </cfRule>
  </conditionalFormatting>
  <conditionalFormatting sqref="AL293:AL300">
    <cfRule type="dataBar" priority="1891">
      <dataBar>
        <cfvo type="min"/>
        <cfvo type="max"/>
        <color rgb="FF628DC4"/>
      </dataBar>
    </cfRule>
  </conditionalFormatting>
  <conditionalFormatting sqref="AL306:AL313">
    <cfRule type="dataBar" priority="1960">
      <dataBar>
        <cfvo type="min"/>
        <cfvo type="max"/>
        <color rgb="FF628DC4"/>
      </dataBar>
    </cfRule>
  </conditionalFormatting>
  <conditionalFormatting sqref="AM6:AM8">
    <cfRule type="dataBar" priority="29">
      <dataBar>
        <cfvo type="min"/>
        <cfvo type="max"/>
        <color rgb="FFFFB628"/>
      </dataBar>
    </cfRule>
  </conditionalFormatting>
  <conditionalFormatting sqref="AM14:AM16">
    <cfRule type="dataBar" priority="98">
      <dataBar>
        <cfvo type="min"/>
        <cfvo type="max"/>
        <color rgb="FFFFB628"/>
      </dataBar>
    </cfRule>
  </conditionalFormatting>
  <conditionalFormatting sqref="AM22:AM24">
    <cfRule type="dataBar" priority="167">
      <dataBar>
        <cfvo type="min"/>
        <cfvo type="max"/>
        <color rgb="FFFFB628"/>
      </dataBar>
    </cfRule>
  </conditionalFormatting>
  <conditionalFormatting sqref="AM30:AM36">
    <cfRule type="dataBar" priority="236">
      <dataBar>
        <cfvo type="min"/>
        <cfvo type="max"/>
        <color rgb="FFFFB628"/>
      </dataBar>
    </cfRule>
  </conditionalFormatting>
  <conditionalFormatting sqref="AM42:AM49">
    <cfRule type="dataBar" priority="305">
      <dataBar>
        <cfvo type="min"/>
        <cfvo type="max"/>
        <color rgb="FFFFB628"/>
      </dataBar>
    </cfRule>
  </conditionalFormatting>
  <conditionalFormatting sqref="AM55:AM58">
    <cfRule type="dataBar" priority="374">
      <dataBar>
        <cfvo type="min"/>
        <cfvo type="max"/>
        <color rgb="FFFFB628"/>
      </dataBar>
    </cfRule>
  </conditionalFormatting>
  <conditionalFormatting sqref="AM64:AM66">
    <cfRule type="dataBar" priority="443">
      <dataBar>
        <cfvo type="min"/>
        <cfvo type="max"/>
        <color rgb="FFFFB628"/>
      </dataBar>
    </cfRule>
  </conditionalFormatting>
  <conditionalFormatting sqref="AM72:AM78">
    <cfRule type="dataBar" priority="512">
      <dataBar>
        <cfvo type="min"/>
        <cfvo type="max"/>
        <color rgb="FFFFB628"/>
      </dataBar>
    </cfRule>
  </conditionalFormatting>
  <conditionalFormatting sqref="AM84:AM91">
    <cfRule type="dataBar" priority="581">
      <dataBar>
        <cfvo type="min"/>
        <cfvo type="max"/>
        <color rgb="FFFFB628"/>
      </dataBar>
    </cfRule>
  </conditionalFormatting>
  <conditionalFormatting sqref="AM97:AM100">
    <cfRule type="dataBar" priority="650">
      <dataBar>
        <cfvo type="min"/>
        <cfvo type="max"/>
        <color rgb="FFFFB628"/>
      </dataBar>
    </cfRule>
  </conditionalFormatting>
  <conditionalFormatting sqref="AM106:AM108">
    <cfRule type="dataBar" priority="719">
      <dataBar>
        <cfvo type="min"/>
        <cfvo type="max"/>
        <color rgb="FFFFB628"/>
      </dataBar>
    </cfRule>
  </conditionalFormatting>
  <conditionalFormatting sqref="AM114:AM120">
    <cfRule type="dataBar" priority="788">
      <dataBar>
        <cfvo type="min"/>
        <cfvo type="max"/>
        <color rgb="FFFFB628"/>
      </dataBar>
    </cfRule>
  </conditionalFormatting>
  <conditionalFormatting sqref="AM126:AM133">
    <cfRule type="dataBar" priority="857">
      <dataBar>
        <cfvo type="min"/>
        <cfvo type="max"/>
        <color rgb="FFFFB628"/>
      </dataBar>
    </cfRule>
  </conditionalFormatting>
  <conditionalFormatting sqref="AM139:AM142">
    <cfRule type="dataBar" priority="926">
      <dataBar>
        <cfvo type="min"/>
        <cfvo type="max"/>
        <color rgb="FFFFB628"/>
      </dataBar>
    </cfRule>
  </conditionalFormatting>
  <conditionalFormatting sqref="AM148:AM150">
    <cfRule type="dataBar" priority="995">
      <dataBar>
        <cfvo type="min"/>
        <cfvo type="max"/>
        <color rgb="FFFFB628"/>
      </dataBar>
    </cfRule>
  </conditionalFormatting>
  <conditionalFormatting sqref="AM156:AM162">
    <cfRule type="dataBar" priority="1064">
      <dataBar>
        <cfvo type="min"/>
        <cfvo type="max"/>
        <color rgb="FFFFB628"/>
      </dataBar>
    </cfRule>
  </conditionalFormatting>
  <conditionalFormatting sqref="AM168:AM175">
    <cfRule type="dataBar" priority="1133">
      <dataBar>
        <cfvo type="min"/>
        <cfvo type="max"/>
        <color rgb="FFFFB628"/>
      </dataBar>
    </cfRule>
  </conditionalFormatting>
  <conditionalFormatting sqref="AM181:AM184">
    <cfRule type="dataBar" priority="1202">
      <dataBar>
        <cfvo type="min"/>
        <cfvo type="max"/>
        <color rgb="FFFFB628"/>
      </dataBar>
    </cfRule>
  </conditionalFormatting>
  <conditionalFormatting sqref="AM190:AM192">
    <cfRule type="dataBar" priority="1271">
      <dataBar>
        <cfvo type="min"/>
        <cfvo type="max"/>
        <color rgb="FFFFB628"/>
      </dataBar>
    </cfRule>
  </conditionalFormatting>
  <conditionalFormatting sqref="AM198:AM204">
    <cfRule type="dataBar" priority="1340">
      <dataBar>
        <cfvo type="min"/>
        <cfvo type="max"/>
        <color rgb="FFFFB628"/>
      </dataBar>
    </cfRule>
  </conditionalFormatting>
  <conditionalFormatting sqref="AM210:AM212">
    <cfRule type="dataBar" priority="1409">
      <dataBar>
        <cfvo type="min"/>
        <cfvo type="max"/>
        <color rgb="FFFFB628"/>
      </dataBar>
    </cfRule>
  </conditionalFormatting>
  <conditionalFormatting sqref="AM218:AM226">
    <cfRule type="dataBar" priority="1478">
      <dataBar>
        <cfvo type="min"/>
        <cfvo type="max"/>
        <color rgb="FFFFB628"/>
      </dataBar>
    </cfRule>
  </conditionalFormatting>
  <conditionalFormatting sqref="AM232:AM240">
    <cfRule type="dataBar" priority="1547">
      <dataBar>
        <cfvo type="min"/>
        <cfvo type="max"/>
        <color rgb="FFFFB628"/>
      </dataBar>
    </cfRule>
  </conditionalFormatting>
  <conditionalFormatting sqref="AM246:AM254">
    <cfRule type="dataBar" priority="1616">
      <dataBar>
        <cfvo type="min"/>
        <cfvo type="max"/>
        <color rgb="FFFFB628"/>
      </dataBar>
    </cfRule>
  </conditionalFormatting>
  <conditionalFormatting sqref="AM260:AM268">
    <cfRule type="dataBar" priority="1685">
      <dataBar>
        <cfvo type="min"/>
        <cfvo type="max"/>
        <color rgb="FFFFB628"/>
      </dataBar>
    </cfRule>
  </conditionalFormatting>
  <conditionalFormatting sqref="AM274:AM276">
    <cfRule type="dataBar" priority="1754">
      <dataBar>
        <cfvo type="min"/>
        <cfvo type="max"/>
        <color rgb="FFFFB628"/>
      </dataBar>
    </cfRule>
  </conditionalFormatting>
  <conditionalFormatting sqref="AM282:AM287">
    <cfRule type="dataBar" priority="1823">
      <dataBar>
        <cfvo type="min"/>
        <cfvo type="max"/>
        <color rgb="FFFFB628"/>
      </dataBar>
    </cfRule>
  </conditionalFormatting>
  <conditionalFormatting sqref="AM293:AM300">
    <cfRule type="dataBar" priority="1892">
      <dataBar>
        <cfvo type="min"/>
        <cfvo type="max"/>
        <color rgb="FFFFB628"/>
      </dataBar>
    </cfRule>
  </conditionalFormatting>
  <conditionalFormatting sqref="AM306:AM313">
    <cfRule type="dataBar" priority="1961">
      <dataBar>
        <cfvo type="min"/>
        <cfvo type="max"/>
        <color rgb="FFFFB628"/>
      </dataBar>
    </cfRule>
  </conditionalFormatting>
  <conditionalFormatting sqref="AN6:AN8">
    <cfRule type="dataBar" priority="30">
      <dataBar>
        <cfvo type="min"/>
        <cfvo type="max"/>
        <color rgb="FFF08D5B"/>
      </dataBar>
    </cfRule>
  </conditionalFormatting>
  <conditionalFormatting sqref="AN14:AN16">
    <cfRule type="dataBar" priority="99">
      <dataBar>
        <cfvo type="min"/>
        <cfvo type="max"/>
        <color rgb="FFF08D5B"/>
      </dataBar>
    </cfRule>
  </conditionalFormatting>
  <conditionalFormatting sqref="AN22:AN24">
    <cfRule type="dataBar" priority="168">
      <dataBar>
        <cfvo type="min"/>
        <cfvo type="max"/>
        <color rgb="FFF08D5B"/>
      </dataBar>
    </cfRule>
  </conditionalFormatting>
  <conditionalFormatting sqref="AN30:AN36">
    <cfRule type="dataBar" priority="237">
      <dataBar>
        <cfvo type="min"/>
        <cfvo type="max"/>
        <color rgb="FFF08D5B"/>
      </dataBar>
    </cfRule>
  </conditionalFormatting>
  <conditionalFormatting sqref="AN42:AN49">
    <cfRule type="dataBar" priority="306">
      <dataBar>
        <cfvo type="min"/>
        <cfvo type="max"/>
        <color rgb="FFF08D5B"/>
      </dataBar>
    </cfRule>
  </conditionalFormatting>
  <conditionalFormatting sqref="AN55:AN58">
    <cfRule type="dataBar" priority="375">
      <dataBar>
        <cfvo type="min"/>
        <cfvo type="max"/>
        <color rgb="FFF08D5B"/>
      </dataBar>
    </cfRule>
  </conditionalFormatting>
  <conditionalFormatting sqref="AN64:AN66">
    <cfRule type="dataBar" priority="444">
      <dataBar>
        <cfvo type="min"/>
        <cfvo type="max"/>
        <color rgb="FFF08D5B"/>
      </dataBar>
    </cfRule>
  </conditionalFormatting>
  <conditionalFormatting sqref="AN72:AN78">
    <cfRule type="dataBar" priority="513">
      <dataBar>
        <cfvo type="min"/>
        <cfvo type="max"/>
        <color rgb="FFF08D5B"/>
      </dataBar>
    </cfRule>
  </conditionalFormatting>
  <conditionalFormatting sqref="AN84:AN91">
    <cfRule type="dataBar" priority="582">
      <dataBar>
        <cfvo type="min"/>
        <cfvo type="max"/>
        <color rgb="FFF08D5B"/>
      </dataBar>
    </cfRule>
  </conditionalFormatting>
  <conditionalFormatting sqref="AN97:AN100">
    <cfRule type="dataBar" priority="651">
      <dataBar>
        <cfvo type="min"/>
        <cfvo type="max"/>
        <color rgb="FFF08D5B"/>
      </dataBar>
    </cfRule>
  </conditionalFormatting>
  <conditionalFormatting sqref="AN106:AN108">
    <cfRule type="dataBar" priority="720">
      <dataBar>
        <cfvo type="min"/>
        <cfvo type="max"/>
        <color rgb="FFF08D5B"/>
      </dataBar>
    </cfRule>
  </conditionalFormatting>
  <conditionalFormatting sqref="AN114:AN120">
    <cfRule type="dataBar" priority="789">
      <dataBar>
        <cfvo type="min"/>
        <cfvo type="max"/>
        <color rgb="FFF08D5B"/>
      </dataBar>
    </cfRule>
  </conditionalFormatting>
  <conditionalFormatting sqref="AN126:AN133">
    <cfRule type="dataBar" priority="858">
      <dataBar>
        <cfvo type="min"/>
        <cfvo type="max"/>
        <color rgb="FFF08D5B"/>
      </dataBar>
    </cfRule>
  </conditionalFormatting>
  <conditionalFormatting sqref="AN139:AN142">
    <cfRule type="dataBar" priority="927">
      <dataBar>
        <cfvo type="min"/>
        <cfvo type="max"/>
        <color rgb="FFF08D5B"/>
      </dataBar>
    </cfRule>
  </conditionalFormatting>
  <conditionalFormatting sqref="AN148:AN150">
    <cfRule type="dataBar" priority="996">
      <dataBar>
        <cfvo type="min"/>
        <cfvo type="max"/>
        <color rgb="FFF08D5B"/>
      </dataBar>
    </cfRule>
  </conditionalFormatting>
  <conditionalFormatting sqref="AN156:AN162">
    <cfRule type="dataBar" priority="1065">
      <dataBar>
        <cfvo type="min"/>
        <cfvo type="max"/>
        <color rgb="FFF08D5B"/>
      </dataBar>
    </cfRule>
  </conditionalFormatting>
  <conditionalFormatting sqref="AN168:AN175">
    <cfRule type="dataBar" priority="1134">
      <dataBar>
        <cfvo type="min"/>
        <cfvo type="max"/>
        <color rgb="FFF08D5B"/>
      </dataBar>
    </cfRule>
  </conditionalFormatting>
  <conditionalFormatting sqref="AN181:AN184">
    <cfRule type="dataBar" priority="1203">
      <dataBar>
        <cfvo type="min"/>
        <cfvo type="max"/>
        <color rgb="FFF08D5B"/>
      </dataBar>
    </cfRule>
  </conditionalFormatting>
  <conditionalFormatting sqref="AN190:AN192">
    <cfRule type="dataBar" priority="1272">
      <dataBar>
        <cfvo type="min"/>
        <cfvo type="max"/>
        <color rgb="FFF08D5B"/>
      </dataBar>
    </cfRule>
  </conditionalFormatting>
  <conditionalFormatting sqref="AN198:AN204">
    <cfRule type="dataBar" priority="1341">
      <dataBar>
        <cfvo type="min"/>
        <cfvo type="max"/>
        <color rgb="FFF08D5B"/>
      </dataBar>
    </cfRule>
  </conditionalFormatting>
  <conditionalFormatting sqref="AN210:AN212">
    <cfRule type="dataBar" priority="1410">
      <dataBar>
        <cfvo type="min"/>
        <cfvo type="max"/>
        <color rgb="FFF08D5B"/>
      </dataBar>
    </cfRule>
  </conditionalFormatting>
  <conditionalFormatting sqref="AN218:AN226">
    <cfRule type="dataBar" priority="1479">
      <dataBar>
        <cfvo type="min"/>
        <cfvo type="max"/>
        <color rgb="FFF08D5B"/>
      </dataBar>
    </cfRule>
  </conditionalFormatting>
  <conditionalFormatting sqref="AN232:AN240">
    <cfRule type="dataBar" priority="1548">
      <dataBar>
        <cfvo type="min"/>
        <cfvo type="max"/>
        <color rgb="FFF08D5B"/>
      </dataBar>
    </cfRule>
  </conditionalFormatting>
  <conditionalFormatting sqref="AN246:AN254">
    <cfRule type="dataBar" priority="1617">
      <dataBar>
        <cfvo type="min"/>
        <cfvo type="max"/>
        <color rgb="FFF08D5B"/>
      </dataBar>
    </cfRule>
  </conditionalFormatting>
  <conditionalFormatting sqref="AN260:AN268">
    <cfRule type="dataBar" priority="1686">
      <dataBar>
        <cfvo type="min"/>
        <cfvo type="max"/>
        <color rgb="FFF08D5B"/>
      </dataBar>
    </cfRule>
  </conditionalFormatting>
  <conditionalFormatting sqref="AN274:AN276">
    <cfRule type="dataBar" priority="1755">
      <dataBar>
        <cfvo type="min"/>
        <cfvo type="max"/>
        <color rgb="FFF08D5B"/>
      </dataBar>
    </cfRule>
  </conditionalFormatting>
  <conditionalFormatting sqref="AN282:AN287">
    <cfRule type="dataBar" priority="1824">
      <dataBar>
        <cfvo type="min"/>
        <cfvo type="max"/>
        <color rgb="FFF08D5B"/>
      </dataBar>
    </cfRule>
  </conditionalFormatting>
  <conditionalFormatting sqref="AN293:AN300">
    <cfRule type="dataBar" priority="1893">
      <dataBar>
        <cfvo type="min"/>
        <cfvo type="max"/>
        <color rgb="FFF08D5B"/>
      </dataBar>
    </cfRule>
  </conditionalFormatting>
  <conditionalFormatting sqref="AN306:AN313">
    <cfRule type="dataBar" priority="1962">
      <dataBar>
        <cfvo type="min"/>
        <cfvo type="max"/>
        <color rgb="FFF08D5B"/>
      </dataBar>
    </cfRule>
  </conditionalFormatting>
  <conditionalFormatting sqref="AP6:AP8">
    <cfRule type="dataBar" priority="31">
      <dataBar>
        <cfvo type="min"/>
        <cfvo type="max"/>
        <color rgb="FF628DC4"/>
      </dataBar>
    </cfRule>
  </conditionalFormatting>
  <conditionalFormatting sqref="AP14:AP16">
    <cfRule type="dataBar" priority="100">
      <dataBar>
        <cfvo type="min"/>
        <cfvo type="max"/>
        <color rgb="FF628DC4"/>
      </dataBar>
    </cfRule>
  </conditionalFormatting>
  <conditionalFormatting sqref="AP22:AP24">
    <cfRule type="dataBar" priority="169">
      <dataBar>
        <cfvo type="min"/>
        <cfvo type="max"/>
        <color rgb="FF628DC4"/>
      </dataBar>
    </cfRule>
  </conditionalFormatting>
  <conditionalFormatting sqref="AP30:AP36">
    <cfRule type="dataBar" priority="238">
      <dataBar>
        <cfvo type="min"/>
        <cfvo type="max"/>
        <color rgb="FF628DC4"/>
      </dataBar>
    </cfRule>
  </conditionalFormatting>
  <conditionalFormatting sqref="AP42:AP49">
    <cfRule type="dataBar" priority="307">
      <dataBar>
        <cfvo type="min"/>
        <cfvo type="max"/>
        <color rgb="FF628DC4"/>
      </dataBar>
    </cfRule>
  </conditionalFormatting>
  <conditionalFormatting sqref="AP55:AP58">
    <cfRule type="dataBar" priority="376">
      <dataBar>
        <cfvo type="min"/>
        <cfvo type="max"/>
        <color rgb="FF628DC4"/>
      </dataBar>
    </cfRule>
  </conditionalFormatting>
  <conditionalFormatting sqref="AP64:AP66">
    <cfRule type="dataBar" priority="445">
      <dataBar>
        <cfvo type="min"/>
        <cfvo type="max"/>
        <color rgb="FF628DC4"/>
      </dataBar>
    </cfRule>
  </conditionalFormatting>
  <conditionalFormatting sqref="AP72:AP78">
    <cfRule type="dataBar" priority="514">
      <dataBar>
        <cfvo type="min"/>
        <cfvo type="max"/>
        <color rgb="FF628DC4"/>
      </dataBar>
    </cfRule>
  </conditionalFormatting>
  <conditionalFormatting sqref="AP84:AP91">
    <cfRule type="dataBar" priority="583">
      <dataBar>
        <cfvo type="min"/>
        <cfvo type="max"/>
        <color rgb="FF628DC4"/>
      </dataBar>
    </cfRule>
  </conditionalFormatting>
  <conditionalFormatting sqref="AP97:AP100">
    <cfRule type="dataBar" priority="652">
      <dataBar>
        <cfvo type="min"/>
        <cfvo type="max"/>
        <color rgb="FF628DC4"/>
      </dataBar>
    </cfRule>
  </conditionalFormatting>
  <conditionalFormatting sqref="AP106:AP108">
    <cfRule type="dataBar" priority="721">
      <dataBar>
        <cfvo type="min"/>
        <cfvo type="max"/>
        <color rgb="FF628DC4"/>
      </dataBar>
    </cfRule>
  </conditionalFormatting>
  <conditionalFormatting sqref="AP114:AP120">
    <cfRule type="dataBar" priority="790">
      <dataBar>
        <cfvo type="min"/>
        <cfvo type="max"/>
        <color rgb="FF628DC4"/>
      </dataBar>
    </cfRule>
  </conditionalFormatting>
  <conditionalFormatting sqref="AP126:AP133">
    <cfRule type="dataBar" priority="859">
      <dataBar>
        <cfvo type="min"/>
        <cfvo type="max"/>
        <color rgb="FF628DC4"/>
      </dataBar>
    </cfRule>
  </conditionalFormatting>
  <conditionalFormatting sqref="AP139:AP142">
    <cfRule type="dataBar" priority="928">
      <dataBar>
        <cfvo type="min"/>
        <cfvo type="max"/>
        <color rgb="FF628DC4"/>
      </dataBar>
    </cfRule>
  </conditionalFormatting>
  <conditionalFormatting sqref="AP148:AP150">
    <cfRule type="dataBar" priority="997">
      <dataBar>
        <cfvo type="min"/>
        <cfvo type="max"/>
        <color rgb="FF628DC4"/>
      </dataBar>
    </cfRule>
  </conditionalFormatting>
  <conditionalFormatting sqref="AP156:AP162">
    <cfRule type="dataBar" priority="1066">
      <dataBar>
        <cfvo type="min"/>
        <cfvo type="max"/>
        <color rgb="FF628DC4"/>
      </dataBar>
    </cfRule>
  </conditionalFormatting>
  <conditionalFormatting sqref="AP168:AP175">
    <cfRule type="dataBar" priority="1135">
      <dataBar>
        <cfvo type="min"/>
        <cfvo type="max"/>
        <color rgb="FF628DC4"/>
      </dataBar>
    </cfRule>
  </conditionalFormatting>
  <conditionalFormatting sqref="AP181:AP184">
    <cfRule type="dataBar" priority="1204">
      <dataBar>
        <cfvo type="min"/>
        <cfvo type="max"/>
        <color rgb="FF628DC4"/>
      </dataBar>
    </cfRule>
  </conditionalFormatting>
  <conditionalFormatting sqref="AP190:AP192">
    <cfRule type="dataBar" priority="1273">
      <dataBar>
        <cfvo type="min"/>
        <cfvo type="max"/>
        <color rgb="FF628DC4"/>
      </dataBar>
    </cfRule>
  </conditionalFormatting>
  <conditionalFormatting sqref="AP198:AP204">
    <cfRule type="dataBar" priority="1342">
      <dataBar>
        <cfvo type="min"/>
        <cfvo type="max"/>
        <color rgb="FF628DC4"/>
      </dataBar>
    </cfRule>
  </conditionalFormatting>
  <conditionalFormatting sqref="AP210:AP212">
    <cfRule type="dataBar" priority="1411">
      <dataBar>
        <cfvo type="min"/>
        <cfvo type="max"/>
        <color rgb="FF628DC4"/>
      </dataBar>
    </cfRule>
  </conditionalFormatting>
  <conditionalFormatting sqref="AP218:AP226">
    <cfRule type="dataBar" priority="1480">
      <dataBar>
        <cfvo type="min"/>
        <cfvo type="max"/>
        <color rgb="FF628DC4"/>
      </dataBar>
    </cfRule>
  </conditionalFormatting>
  <conditionalFormatting sqref="AP232:AP240">
    <cfRule type="dataBar" priority="1549">
      <dataBar>
        <cfvo type="min"/>
        <cfvo type="max"/>
        <color rgb="FF628DC4"/>
      </dataBar>
    </cfRule>
  </conditionalFormatting>
  <conditionalFormatting sqref="AP246:AP254">
    <cfRule type="dataBar" priority="1618">
      <dataBar>
        <cfvo type="min"/>
        <cfvo type="max"/>
        <color rgb="FF628DC4"/>
      </dataBar>
    </cfRule>
  </conditionalFormatting>
  <conditionalFormatting sqref="AP260:AP268">
    <cfRule type="dataBar" priority="1687">
      <dataBar>
        <cfvo type="min"/>
        <cfvo type="max"/>
        <color rgb="FF628DC4"/>
      </dataBar>
    </cfRule>
  </conditionalFormatting>
  <conditionalFormatting sqref="AP274:AP276">
    <cfRule type="dataBar" priority="1756">
      <dataBar>
        <cfvo type="min"/>
        <cfvo type="max"/>
        <color rgb="FF628DC4"/>
      </dataBar>
    </cfRule>
  </conditionalFormatting>
  <conditionalFormatting sqref="AP282:AP287">
    <cfRule type="dataBar" priority="1825">
      <dataBar>
        <cfvo type="min"/>
        <cfvo type="max"/>
        <color rgb="FF628DC4"/>
      </dataBar>
    </cfRule>
  </conditionalFormatting>
  <conditionalFormatting sqref="AP293:AP300">
    <cfRule type="dataBar" priority="1894">
      <dataBar>
        <cfvo type="min"/>
        <cfvo type="max"/>
        <color rgb="FF628DC4"/>
      </dataBar>
    </cfRule>
  </conditionalFormatting>
  <conditionalFormatting sqref="AP306:AP313">
    <cfRule type="dataBar" priority="1963">
      <dataBar>
        <cfvo type="min"/>
        <cfvo type="max"/>
        <color rgb="FF628DC4"/>
      </dataBar>
    </cfRule>
  </conditionalFormatting>
  <conditionalFormatting sqref="AQ6:AQ8">
    <cfRule type="dataBar" priority="32">
      <dataBar>
        <cfvo type="min"/>
        <cfvo type="max"/>
        <color rgb="FFFFB628"/>
      </dataBar>
    </cfRule>
  </conditionalFormatting>
  <conditionalFormatting sqref="AQ14:AQ16">
    <cfRule type="dataBar" priority="101">
      <dataBar>
        <cfvo type="min"/>
        <cfvo type="max"/>
        <color rgb="FFFFB628"/>
      </dataBar>
    </cfRule>
  </conditionalFormatting>
  <conditionalFormatting sqref="AQ22:AQ24">
    <cfRule type="dataBar" priority="170">
      <dataBar>
        <cfvo type="min"/>
        <cfvo type="max"/>
        <color rgb="FFFFB628"/>
      </dataBar>
    </cfRule>
  </conditionalFormatting>
  <conditionalFormatting sqref="AQ30:AQ36">
    <cfRule type="dataBar" priority="239">
      <dataBar>
        <cfvo type="min"/>
        <cfvo type="max"/>
        <color rgb="FFFFB628"/>
      </dataBar>
    </cfRule>
  </conditionalFormatting>
  <conditionalFormatting sqref="AQ42:AQ49">
    <cfRule type="dataBar" priority="308">
      <dataBar>
        <cfvo type="min"/>
        <cfvo type="max"/>
        <color rgb="FFFFB628"/>
      </dataBar>
    </cfRule>
  </conditionalFormatting>
  <conditionalFormatting sqref="AQ55:AQ58">
    <cfRule type="dataBar" priority="377">
      <dataBar>
        <cfvo type="min"/>
        <cfvo type="max"/>
        <color rgb="FFFFB628"/>
      </dataBar>
    </cfRule>
  </conditionalFormatting>
  <conditionalFormatting sqref="AQ64:AQ66">
    <cfRule type="dataBar" priority="446">
      <dataBar>
        <cfvo type="min"/>
        <cfvo type="max"/>
        <color rgb="FFFFB628"/>
      </dataBar>
    </cfRule>
  </conditionalFormatting>
  <conditionalFormatting sqref="AQ72:AQ78">
    <cfRule type="dataBar" priority="515">
      <dataBar>
        <cfvo type="min"/>
        <cfvo type="max"/>
        <color rgb="FFFFB628"/>
      </dataBar>
    </cfRule>
  </conditionalFormatting>
  <conditionalFormatting sqref="AQ84:AQ91">
    <cfRule type="dataBar" priority="584">
      <dataBar>
        <cfvo type="min"/>
        <cfvo type="max"/>
        <color rgb="FFFFB628"/>
      </dataBar>
    </cfRule>
  </conditionalFormatting>
  <conditionalFormatting sqref="AQ97:AQ100">
    <cfRule type="dataBar" priority="653">
      <dataBar>
        <cfvo type="min"/>
        <cfvo type="max"/>
        <color rgb="FFFFB628"/>
      </dataBar>
    </cfRule>
  </conditionalFormatting>
  <conditionalFormatting sqref="AQ106:AQ108">
    <cfRule type="dataBar" priority="722">
      <dataBar>
        <cfvo type="min"/>
        <cfvo type="max"/>
        <color rgb="FFFFB628"/>
      </dataBar>
    </cfRule>
  </conditionalFormatting>
  <conditionalFormatting sqref="AQ114:AQ120">
    <cfRule type="dataBar" priority="791">
      <dataBar>
        <cfvo type="min"/>
        <cfvo type="max"/>
        <color rgb="FFFFB628"/>
      </dataBar>
    </cfRule>
  </conditionalFormatting>
  <conditionalFormatting sqref="AQ126:AQ133">
    <cfRule type="dataBar" priority="860">
      <dataBar>
        <cfvo type="min"/>
        <cfvo type="max"/>
        <color rgb="FFFFB628"/>
      </dataBar>
    </cfRule>
  </conditionalFormatting>
  <conditionalFormatting sqref="AQ139:AQ142">
    <cfRule type="dataBar" priority="929">
      <dataBar>
        <cfvo type="min"/>
        <cfvo type="max"/>
        <color rgb="FFFFB628"/>
      </dataBar>
    </cfRule>
  </conditionalFormatting>
  <conditionalFormatting sqref="AQ148:AQ150">
    <cfRule type="dataBar" priority="998">
      <dataBar>
        <cfvo type="min"/>
        <cfvo type="max"/>
        <color rgb="FFFFB628"/>
      </dataBar>
    </cfRule>
  </conditionalFormatting>
  <conditionalFormatting sqref="AQ156:AQ162">
    <cfRule type="dataBar" priority="1067">
      <dataBar>
        <cfvo type="min"/>
        <cfvo type="max"/>
        <color rgb="FFFFB628"/>
      </dataBar>
    </cfRule>
  </conditionalFormatting>
  <conditionalFormatting sqref="AQ168:AQ175">
    <cfRule type="dataBar" priority="1136">
      <dataBar>
        <cfvo type="min"/>
        <cfvo type="max"/>
        <color rgb="FFFFB628"/>
      </dataBar>
    </cfRule>
  </conditionalFormatting>
  <conditionalFormatting sqref="AQ181:AQ184">
    <cfRule type="dataBar" priority="1205">
      <dataBar>
        <cfvo type="min"/>
        <cfvo type="max"/>
        <color rgb="FFFFB628"/>
      </dataBar>
    </cfRule>
  </conditionalFormatting>
  <conditionalFormatting sqref="AQ190:AQ192">
    <cfRule type="dataBar" priority="1274">
      <dataBar>
        <cfvo type="min"/>
        <cfvo type="max"/>
        <color rgb="FFFFB628"/>
      </dataBar>
    </cfRule>
  </conditionalFormatting>
  <conditionalFormatting sqref="AQ198:AQ204">
    <cfRule type="dataBar" priority="1343">
      <dataBar>
        <cfvo type="min"/>
        <cfvo type="max"/>
        <color rgb="FFFFB628"/>
      </dataBar>
    </cfRule>
  </conditionalFormatting>
  <conditionalFormatting sqref="AQ210:AQ212">
    <cfRule type="dataBar" priority="1412">
      <dataBar>
        <cfvo type="min"/>
        <cfvo type="max"/>
        <color rgb="FFFFB628"/>
      </dataBar>
    </cfRule>
  </conditionalFormatting>
  <conditionalFormatting sqref="AQ218:AQ226">
    <cfRule type="dataBar" priority="1481">
      <dataBar>
        <cfvo type="min"/>
        <cfvo type="max"/>
        <color rgb="FFFFB628"/>
      </dataBar>
    </cfRule>
  </conditionalFormatting>
  <conditionalFormatting sqref="AQ232:AQ240">
    <cfRule type="dataBar" priority="1550">
      <dataBar>
        <cfvo type="min"/>
        <cfvo type="max"/>
        <color rgb="FFFFB628"/>
      </dataBar>
    </cfRule>
  </conditionalFormatting>
  <conditionalFormatting sqref="AQ246:AQ254">
    <cfRule type="dataBar" priority="1619">
      <dataBar>
        <cfvo type="min"/>
        <cfvo type="max"/>
        <color rgb="FFFFB628"/>
      </dataBar>
    </cfRule>
  </conditionalFormatting>
  <conditionalFormatting sqref="AQ260:AQ268">
    <cfRule type="dataBar" priority="1688">
      <dataBar>
        <cfvo type="min"/>
        <cfvo type="max"/>
        <color rgb="FFFFB628"/>
      </dataBar>
    </cfRule>
  </conditionalFormatting>
  <conditionalFormatting sqref="AQ274:AQ276">
    <cfRule type="dataBar" priority="1757">
      <dataBar>
        <cfvo type="min"/>
        <cfvo type="max"/>
        <color rgb="FFFFB628"/>
      </dataBar>
    </cfRule>
  </conditionalFormatting>
  <conditionalFormatting sqref="AQ282:AQ287">
    <cfRule type="dataBar" priority="1826">
      <dataBar>
        <cfvo type="min"/>
        <cfvo type="max"/>
        <color rgb="FFFFB628"/>
      </dataBar>
    </cfRule>
  </conditionalFormatting>
  <conditionalFormatting sqref="AQ293:AQ300">
    <cfRule type="dataBar" priority="1895">
      <dataBar>
        <cfvo type="min"/>
        <cfvo type="max"/>
        <color rgb="FFFFB628"/>
      </dataBar>
    </cfRule>
  </conditionalFormatting>
  <conditionalFormatting sqref="AQ306:AQ313">
    <cfRule type="dataBar" priority="1964">
      <dataBar>
        <cfvo type="min"/>
        <cfvo type="max"/>
        <color rgb="FFFFB628"/>
      </dataBar>
    </cfRule>
  </conditionalFormatting>
  <conditionalFormatting sqref="AR6:AR8">
    <cfRule type="dataBar" priority="33">
      <dataBar>
        <cfvo type="min"/>
        <cfvo type="max"/>
        <color rgb="FFF08D5B"/>
      </dataBar>
    </cfRule>
  </conditionalFormatting>
  <conditionalFormatting sqref="AR14:AR16">
    <cfRule type="dataBar" priority="102">
      <dataBar>
        <cfvo type="min"/>
        <cfvo type="max"/>
        <color rgb="FFF08D5B"/>
      </dataBar>
    </cfRule>
  </conditionalFormatting>
  <conditionalFormatting sqref="AR22:AR24">
    <cfRule type="dataBar" priority="171">
      <dataBar>
        <cfvo type="min"/>
        <cfvo type="max"/>
        <color rgb="FFF08D5B"/>
      </dataBar>
    </cfRule>
  </conditionalFormatting>
  <conditionalFormatting sqref="AR30:AR36">
    <cfRule type="dataBar" priority="240">
      <dataBar>
        <cfvo type="min"/>
        <cfvo type="max"/>
        <color rgb="FFF08D5B"/>
      </dataBar>
    </cfRule>
  </conditionalFormatting>
  <conditionalFormatting sqref="AR42:AR49">
    <cfRule type="dataBar" priority="309">
      <dataBar>
        <cfvo type="min"/>
        <cfvo type="max"/>
        <color rgb="FFF08D5B"/>
      </dataBar>
    </cfRule>
  </conditionalFormatting>
  <conditionalFormatting sqref="AR55:AR58">
    <cfRule type="dataBar" priority="378">
      <dataBar>
        <cfvo type="min"/>
        <cfvo type="max"/>
        <color rgb="FFF08D5B"/>
      </dataBar>
    </cfRule>
  </conditionalFormatting>
  <conditionalFormatting sqref="AR64:AR66">
    <cfRule type="dataBar" priority="447">
      <dataBar>
        <cfvo type="min"/>
        <cfvo type="max"/>
        <color rgb="FFF08D5B"/>
      </dataBar>
    </cfRule>
  </conditionalFormatting>
  <conditionalFormatting sqref="AR72:AR78">
    <cfRule type="dataBar" priority="516">
      <dataBar>
        <cfvo type="min"/>
        <cfvo type="max"/>
        <color rgb="FFF08D5B"/>
      </dataBar>
    </cfRule>
  </conditionalFormatting>
  <conditionalFormatting sqref="AR84:AR91">
    <cfRule type="dataBar" priority="585">
      <dataBar>
        <cfvo type="min"/>
        <cfvo type="max"/>
        <color rgb="FFF08D5B"/>
      </dataBar>
    </cfRule>
  </conditionalFormatting>
  <conditionalFormatting sqref="AR97:AR100">
    <cfRule type="dataBar" priority="654">
      <dataBar>
        <cfvo type="min"/>
        <cfvo type="max"/>
        <color rgb="FFF08D5B"/>
      </dataBar>
    </cfRule>
  </conditionalFormatting>
  <conditionalFormatting sqref="AR106:AR108">
    <cfRule type="dataBar" priority="723">
      <dataBar>
        <cfvo type="min"/>
        <cfvo type="max"/>
        <color rgb="FFF08D5B"/>
      </dataBar>
    </cfRule>
  </conditionalFormatting>
  <conditionalFormatting sqref="AR114:AR120">
    <cfRule type="dataBar" priority="792">
      <dataBar>
        <cfvo type="min"/>
        <cfvo type="max"/>
        <color rgb="FFF08D5B"/>
      </dataBar>
    </cfRule>
  </conditionalFormatting>
  <conditionalFormatting sqref="AR126:AR133">
    <cfRule type="dataBar" priority="861">
      <dataBar>
        <cfvo type="min"/>
        <cfvo type="max"/>
        <color rgb="FFF08D5B"/>
      </dataBar>
    </cfRule>
  </conditionalFormatting>
  <conditionalFormatting sqref="AR139:AR142">
    <cfRule type="dataBar" priority="930">
      <dataBar>
        <cfvo type="min"/>
        <cfvo type="max"/>
        <color rgb="FFF08D5B"/>
      </dataBar>
    </cfRule>
  </conditionalFormatting>
  <conditionalFormatting sqref="AR148:AR150">
    <cfRule type="dataBar" priority="999">
      <dataBar>
        <cfvo type="min"/>
        <cfvo type="max"/>
        <color rgb="FFF08D5B"/>
      </dataBar>
    </cfRule>
  </conditionalFormatting>
  <conditionalFormatting sqref="AR156:AR162">
    <cfRule type="dataBar" priority="1068">
      <dataBar>
        <cfvo type="min"/>
        <cfvo type="max"/>
        <color rgb="FFF08D5B"/>
      </dataBar>
    </cfRule>
  </conditionalFormatting>
  <conditionalFormatting sqref="AR168:AR175">
    <cfRule type="dataBar" priority="1137">
      <dataBar>
        <cfvo type="min"/>
        <cfvo type="max"/>
        <color rgb="FFF08D5B"/>
      </dataBar>
    </cfRule>
  </conditionalFormatting>
  <conditionalFormatting sqref="AR181:AR184">
    <cfRule type="dataBar" priority="1206">
      <dataBar>
        <cfvo type="min"/>
        <cfvo type="max"/>
        <color rgb="FFF08D5B"/>
      </dataBar>
    </cfRule>
  </conditionalFormatting>
  <conditionalFormatting sqref="AR190:AR192">
    <cfRule type="dataBar" priority="1275">
      <dataBar>
        <cfvo type="min"/>
        <cfvo type="max"/>
        <color rgb="FFF08D5B"/>
      </dataBar>
    </cfRule>
  </conditionalFormatting>
  <conditionalFormatting sqref="AR198:AR204">
    <cfRule type="dataBar" priority="1344">
      <dataBar>
        <cfvo type="min"/>
        <cfvo type="max"/>
        <color rgb="FFF08D5B"/>
      </dataBar>
    </cfRule>
  </conditionalFormatting>
  <conditionalFormatting sqref="AR210:AR212">
    <cfRule type="dataBar" priority="1413">
      <dataBar>
        <cfvo type="min"/>
        <cfvo type="max"/>
        <color rgb="FFF08D5B"/>
      </dataBar>
    </cfRule>
  </conditionalFormatting>
  <conditionalFormatting sqref="AR218:AR226">
    <cfRule type="dataBar" priority="1482">
      <dataBar>
        <cfvo type="min"/>
        <cfvo type="max"/>
        <color rgb="FFF08D5B"/>
      </dataBar>
    </cfRule>
  </conditionalFormatting>
  <conditionalFormatting sqref="AR232:AR240">
    <cfRule type="dataBar" priority="1551">
      <dataBar>
        <cfvo type="min"/>
        <cfvo type="max"/>
        <color rgb="FFF08D5B"/>
      </dataBar>
    </cfRule>
  </conditionalFormatting>
  <conditionalFormatting sqref="AR246:AR254">
    <cfRule type="dataBar" priority="1620">
      <dataBar>
        <cfvo type="min"/>
        <cfvo type="max"/>
        <color rgb="FFF08D5B"/>
      </dataBar>
    </cfRule>
  </conditionalFormatting>
  <conditionalFormatting sqref="AR260:AR268">
    <cfRule type="dataBar" priority="1689">
      <dataBar>
        <cfvo type="min"/>
        <cfvo type="max"/>
        <color rgb="FFF08D5B"/>
      </dataBar>
    </cfRule>
  </conditionalFormatting>
  <conditionalFormatting sqref="AR274:AR276">
    <cfRule type="dataBar" priority="1758">
      <dataBar>
        <cfvo type="min"/>
        <cfvo type="max"/>
        <color rgb="FFF08D5B"/>
      </dataBar>
    </cfRule>
  </conditionalFormatting>
  <conditionalFormatting sqref="AR282:AR287">
    <cfRule type="dataBar" priority="1827">
      <dataBar>
        <cfvo type="min"/>
        <cfvo type="max"/>
        <color rgb="FFF08D5B"/>
      </dataBar>
    </cfRule>
  </conditionalFormatting>
  <conditionalFormatting sqref="AR293:AR300">
    <cfRule type="dataBar" priority="1896">
      <dataBar>
        <cfvo type="min"/>
        <cfvo type="max"/>
        <color rgb="FFF08D5B"/>
      </dataBar>
    </cfRule>
  </conditionalFormatting>
  <conditionalFormatting sqref="AR306:AR313">
    <cfRule type="dataBar" priority="1965">
      <dataBar>
        <cfvo type="min"/>
        <cfvo type="max"/>
        <color rgb="FFF08D5B"/>
      </dataBar>
    </cfRule>
  </conditionalFormatting>
  <conditionalFormatting sqref="AT6:AT8">
    <cfRule type="dataBar" priority="34">
      <dataBar>
        <cfvo type="min"/>
        <cfvo type="max"/>
        <color rgb="FF628DC4"/>
      </dataBar>
    </cfRule>
  </conditionalFormatting>
  <conditionalFormatting sqref="AT14:AT16">
    <cfRule type="dataBar" priority="103">
      <dataBar>
        <cfvo type="min"/>
        <cfvo type="max"/>
        <color rgb="FF628DC4"/>
      </dataBar>
    </cfRule>
  </conditionalFormatting>
  <conditionalFormatting sqref="AT22:AT24">
    <cfRule type="dataBar" priority="172">
      <dataBar>
        <cfvo type="min"/>
        <cfvo type="max"/>
        <color rgb="FF628DC4"/>
      </dataBar>
    </cfRule>
  </conditionalFormatting>
  <conditionalFormatting sqref="AT30:AT36">
    <cfRule type="dataBar" priority="241">
      <dataBar>
        <cfvo type="min"/>
        <cfvo type="max"/>
        <color rgb="FF628DC4"/>
      </dataBar>
    </cfRule>
  </conditionalFormatting>
  <conditionalFormatting sqref="AT42:AT49">
    <cfRule type="dataBar" priority="310">
      <dataBar>
        <cfvo type="min"/>
        <cfvo type="max"/>
        <color rgb="FF628DC4"/>
      </dataBar>
    </cfRule>
  </conditionalFormatting>
  <conditionalFormatting sqref="AT55:AT58">
    <cfRule type="dataBar" priority="379">
      <dataBar>
        <cfvo type="min"/>
        <cfvo type="max"/>
        <color rgb="FF628DC4"/>
      </dataBar>
    </cfRule>
  </conditionalFormatting>
  <conditionalFormatting sqref="AT64:AT66">
    <cfRule type="dataBar" priority="448">
      <dataBar>
        <cfvo type="min"/>
        <cfvo type="max"/>
        <color rgb="FF628DC4"/>
      </dataBar>
    </cfRule>
  </conditionalFormatting>
  <conditionalFormatting sqref="AT72:AT78">
    <cfRule type="dataBar" priority="517">
      <dataBar>
        <cfvo type="min"/>
        <cfvo type="max"/>
        <color rgb="FF628DC4"/>
      </dataBar>
    </cfRule>
  </conditionalFormatting>
  <conditionalFormatting sqref="AT84:AT91">
    <cfRule type="dataBar" priority="586">
      <dataBar>
        <cfvo type="min"/>
        <cfvo type="max"/>
        <color rgb="FF628DC4"/>
      </dataBar>
    </cfRule>
  </conditionalFormatting>
  <conditionalFormatting sqref="AT97:AT100">
    <cfRule type="dataBar" priority="655">
      <dataBar>
        <cfvo type="min"/>
        <cfvo type="max"/>
        <color rgb="FF628DC4"/>
      </dataBar>
    </cfRule>
  </conditionalFormatting>
  <conditionalFormatting sqref="AT106:AT108">
    <cfRule type="dataBar" priority="724">
      <dataBar>
        <cfvo type="min"/>
        <cfvo type="max"/>
        <color rgb="FF628DC4"/>
      </dataBar>
    </cfRule>
  </conditionalFormatting>
  <conditionalFormatting sqref="AT114:AT120">
    <cfRule type="dataBar" priority="793">
      <dataBar>
        <cfvo type="min"/>
        <cfvo type="max"/>
        <color rgb="FF628DC4"/>
      </dataBar>
    </cfRule>
  </conditionalFormatting>
  <conditionalFormatting sqref="AT126:AT133">
    <cfRule type="dataBar" priority="862">
      <dataBar>
        <cfvo type="min"/>
        <cfvo type="max"/>
        <color rgb="FF628DC4"/>
      </dataBar>
    </cfRule>
  </conditionalFormatting>
  <conditionalFormatting sqref="AT139:AT142">
    <cfRule type="dataBar" priority="931">
      <dataBar>
        <cfvo type="min"/>
        <cfvo type="max"/>
        <color rgb="FF628DC4"/>
      </dataBar>
    </cfRule>
  </conditionalFormatting>
  <conditionalFormatting sqref="AT148:AT150">
    <cfRule type="dataBar" priority="1000">
      <dataBar>
        <cfvo type="min"/>
        <cfvo type="max"/>
        <color rgb="FF628DC4"/>
      </dataBar>
    </cfRule>
  </conditionalFormatting>
  <conditionalFormatting sqref="AT156:AT162">
    <cfRule type="dataBar" priority="1069">
      <dataBar>
        <cfvo type="min"/>
        <cfvo type="max"/>
        <color rgb="FF628DC4"/>
      </dataBar>
    </cfRule>
  </conditionalFormatting>
  <conditionalFormatting sqref="AT168:AT175">
    <cfRule type="dataBar" priority="1138">
      <dataBar>
        <cfvo type="min"/>
        <cfvo type="max"/>
        <color rgb="FF628DC4"/>
      </dataBar>
    </cfRule>
  </conditionalFormatting>
  <conditionalFormatting sqref="AT181:AT184">
    <cfRule type="dataBar" priority="1207">
      <dataBar>
        <cfvo type="min"/>
        <cfvo type="max"/>
        <color rgb="FF628DC4"/>
      </dataBar>
    </cfRule>
  </conditionalFormatting>
  <conditionalFormatting sqref="AT190:AT192">
    <cfRule type="dataBar" priority="1276">
      <dataBar>
        <cfvo type="min"/>
        <cfvo type="max"/>
        <color rgb="FF628DC4"/>
      </dataBar>
    </cfRule>
  </conditionalFormatting>
  <conditionalFormatting sqref="AT198:AT204">
    <cfRule type="dataBar" priority="1345">
      <dataBar>
        <cfvo type="min"/>
        <cfvo type="max"/>
        <color rgb="FF628DC4"/>
      </dataBar>
    </cfRule>
  </conditionalFormatting>
  <conditionalFormatting sqref="AT210:AT212">
    <cfRule type="dataBar" priority="1414">
      <dataBar>
        <cfvo type="min"/>
        <cfvo type="max"/>
        <color rgb="FF628DC4"/>
      </dataBar>
    </cfRule>
  </conditionalFormatting>
  <conditionalFormatting sqref="AT218:AT226">
    <cfRule type="dataBar" priority="1483">
      <dataBar>
        <cfvo type="min"/>
        <cfvo type="max"/>
        <color rgb="FF628DC4"/>
      </dataBar>
    </cfRule>
  </conditionalFormatting>
  <conditionalFormatting sqref="AT232:AT240">
    <cfRule type="dataBar" priority="1552">
      <dataBar>
        <cfvo type="min"/>
        <cfvo type="max"/>
        <color rgb="FF628DC4"/>
      </dataBar>
    </cfRule>
  </conditionalFormatting>
  <conditionalFormatting sqref="AT246:AT254">
    <cfRule type="dataBar" priority="1621">
      <dataBar>
        <cfvo type="min"/>
        <cfvo type="max"/>
        <color rgb="FF628DC4"/>
      </dataBar>
    </cfRule>
  </conditionalFormatting>
  <conditionalFormatting sqref="AT260:AT268">
    <cfRule type="dataBar" priority="1690">
      <dataBar>
        <cfvo type="min"/>
        <cfvo type="max"/>
        <color rgb="FF628DC4"/>
      </dataBar>
    </cfRule>
  </conditionalFormatting>
  <conditionalFormatting sqref="AT274:AT276">
    <cfRule type="dataBar" priority="1759">
      <dataBar>
        <cfvo type="min"/>
        <cfvo type="max"/>
        <color rgb="FF628DC4"/>
      </dataBar>
    </cfRule>
  </conditionalFormatting>
  <conditionalFormatting sqref="AT282:AT287">
    <cfRule type="dataBar" priority="1828">
      <dataBar>
        <cfvo type="min"/>
        <cfvo type="max"/>
        <color rgb="FF628DC4"/>
      </dataBar>
    </cfRule>
  </conditionalFormatting>
  <conditionalFormatting sqref="AT293:AT300">
    <cfRule type="dataBar" priority="1897">
      <dataBar>
        <cfvo type="min"/>
        <cfvo type="max"/>
        <color rgb="FF628DC4"/>
      </dataBar>
    </cfRule>
  </conditionalFormatting>
  <conditionalFormatting sqref="AT306:AT313">
    <cfRule type="dataBar" priority="1966">
      <dataBar>
        <cfvo type="min"/>
        <cfvo type="max"/>
        <color rgb="FF628DC4"/>
      </dataBar>
    </cfRule>
  </conditionalFormatting>
  <conditionalFormatting sqref="AU6:AU8">
    <cfRule type="dataBar" priority="35">
      <dataBar>
        <cfvo type="min"/>
        <cfvo type="max"/>
        <color rgb="FFFFB628"/>
      </dataBar>
    </cfRule>
  </conditionalFormatting>
  <conditionalFormatting sqref="AU14:AU16">
    <cfRule type="dataBar" priority="104">
      <dataBar>
        <cfvo type="min"/>
        <cfvo type="max"/>
        <color rgb="FFFFB628"/>
      </dataBar>
    </cfRule>
  </conditionalFormatting>
  <conditionalFormatting sqref="AU22:AU24">
    <cfRule type="dataBar" priority="173">
      <dataBar>
        <cfvo type="min"/>
        <cfvo type="max"/>
        <color rgb="FFFFB628"/>
      </dataBar>
    </cfRule>
  </conditionalFormatting>
  <conditionalFormatting sqref="AU30:AU36">
    <cfRule type="dataBar" priority="242">
      <dataBar>
        <cfvo type="min"/>
        <cfvo type="max"/>
        <color rgb="FFFFB628"/>
      </dataBar>
    </cfRule>
  </conditionalFormatting>
  <conditionalFormatting sqref="AU42:AU49">
    <cfRule type="dataBar" priority="311">
      <dataBar>
        <cfvo type="min"/>
        <cfvo type="max"/>
        <color rgb="FFFFB628"/>
      </dataBar>
    </cfRule>
  </conditionalFormatting>
  <conditionalFormatting sqref="AU55:AU58">
    <cfRule type="dataBar" priority="380">
      <dataBar>
        <cfvo type="min"/>
        <cfvo type="max"/>
        <color rgb="FFFFB628"/>
      </dataBar>
    </cfRule>
  </conditionalFormatting>
  <conditionalFormatting sqref="AU64:AU66">
    <cfRule type="dataBar" priority="449">
      <dataBar>
        <cfvo type="min"/>
        <cfvo type="max"/>
        <color rgb="FFFFB628"/>
      </dataBar>
    </cfRule>
  </conditionalFormatting>
  <conditionalFormatting sqref="AU72:AU78">
    <cfRule type="dataBar" priority="518">
      <dataBar>
        <cfvo type="min"/>
        <cfvo type="max"/>
        <color rgb="FFFFB628"/>
      </dataBar>
    </cfRule>
  </conditionalFormatting>
  <conditionalFormatting sqref="AU84:AU91">
    <cfRule type="dataBar" priority="587">
      <dataBar>
        <cfvo type="min"/>
        <cfvo type="max"/>
        <color rgb="FFFFB628"/>
      </dataBar>
    </cfRule>
  </conditionalFormatting>
  <conditionalFormatting sqref="AU97:AU100">
    <cfRule type="dataBar" priority="656">
      <dataBar>
        <cfvo type="min"/>
        <cfvo type="max"/>
        <color rgb="FFFFB628"/>
      </dataBar>
    </cfRule>
  </conditionalFormatting>
  <conditionalFormatting sqref="AU106:AU108">
    <cfRule type="dataBar" priority="725">
      <dataBar>
        <cfvo type="min"/>
        <cfvo type="max"/>
        <color rgb="FFFFB628"/>
      </dataBar>
    </cfRule>
  </conditionalFormatting>
  <conditionalFormatting sqref="AU114:AU120">
    <cfRule type="dataBar" priority="794">
      <dataBar>
        <cfvo type="min"/>
        <cfvo type="max"/>
        <color rgb="FFFFB628"/>
      </dataBar>
    </cfRule>
  </conditionalFormatting>
  <conditionalFormatting sqref="AU126:AU133">
    <cfRule type="dataBar" priority="863">
      <dataBar>
        <cfvo type="min"/>
        <cfvo type="max"/>
        <color rgb="FFFFB628"/>
      </dataBar>
    </cfRule>
  </conditionalFormatting>
  <conditionalFormatting sqref="AU139:AU142">
    <cfRule type="dataBar" priority="932">
      <dataBar>
        <cfvo type="min"/>
        <cfvo type="max"/>
        <color rgb="FFFFB628"/>
      </dataBar>
    </cfRule>
  </conditionalFormatting>
  <conditionalFormatting sqref="AU148:AU150">
    <cfRule type="dataBar" priority="1001">
      <dataBar>
        <cfvo type="min"/>
        <cfvo type="max"/>
        <color rgb="FFFFB628"/>
      </dataBar>
    </cfRule>
  </conditionalFormatting>
  <conditionalFormatting sqref="AU156:AU162">
    <cfRule type="dataBar" priority="1070">
      <dataBar>
        <cfvo type="min"/>
        <cfvo type="max"/>
        <color rgb="FFFFB628"/>
      </dataBar>
    </cfRule>
  </conditionalFormatting>
  <conditionalFormatting sqref="AU168:AU175">
    <cfRule type="dataBar" priority="1139">
      <dataBar>
        <cfvo type="min"/>
        <cfvo type="max"/>
        <color rgb="FFFFB628"/>
      </dataBar>
    </cfRule>
  </conditionalFormatting>
  <conditionalFormatting sqref="AU181:AU184">
    <cfRule type="dataBar" priority="1208">
      <dataBar>
        <cfvo type="min"/>
        <cfvo type="max"/>
        <color rgb="FFFFB628"/>
      </dataBar>
    </cfRule>
  </conditionalFormatting>
  <conditionalFormatting sqref="AU190:AU192">
    <cfRule type="dataBar" priority="1277">
      <dataBar>
        <cfvo type="min"/>
        <cfvo type="max"/>
        <color rgb="FFFFB628"/>
      </dataBar>
    </cfRule>
  </conditionalFormatting>
  <conditionalFormatting sqref="AU198:AU204">
    <cfRule type="dataBar" priority="1346">
      <dataBar>
        <cfvo type="min"/>
        <cfvo type="max"/>
        <color rgb="FFFFB628"/>
      </dataBar>
    </cfRule>
  </conditionalFormatting>
  <conditionalFormatting sqref="AU210:AU212">
    <cfRule type="dataBar" priority="1415">
      <dataBar>
        <cfvo type="min"/>
        <cfvo type="max"/>
        <color rgb="FFFFB628"/>
      </dataBar>
    </cfRule>
  </conditionalFormatting>
  <conditionalFormatting sqref="AU218:AU226">
    <cfRule type="dataBar" priority="1484">
      <dataBar>
        <cfvo type="min"/>
        <cfvo type="max"/>
        <color rgb="FFFFB628"/>
      </dataBar>
    </cfRule>
  </conditionalFormatting>
  <conditionalFormatting sqref="AU232:AU240">
    <cfRule type="dataBar" priority="1553">
      <dataBar>
        <cfvo type="min"/>
        <cfvo type="max"/>
        <color rgb="FFFFB628"/>
      </dataBar>
    </cfRule>
  </conditionalFormatting>
  <conditionalFormatting sqref="AU246:AU254">
    <cfRule type="dataBar" priority="1622">
      <dataBar>
        <cfvo type="min"/>
        <cfvo type="max"/>
        <color rgb="FFFFB628"/>
      </dataBar>
    </cfRule>
  </conditionalFormatting>
  <conditionalFormatting sqref="AU260:AU268">
    <cfRule type="dataBar" priority="1691">
      <dataBar>
        <cfvo type="min"/>
        <cfvo type="max"/>
        <color rgb="FFFFB628"/>
      </dataBar>
    </cfRule>
  </conditionalFormatting>
  <conditionalFormatting sqref="AU274:AU276">
    <cfRule type="dataBar" priority="1760">
      <dataBar>
        <cfvo type="min"/>
        <cfvo type="max"/>
        <color rgb="FFFFB628"/>
      </dataBar>
    </cfRule>
  </conditionalFormatting>
  <conditionalFormatting sqref="AU282:AU287">
    <cfRule type="dataBar" priority="1829">
      <dataBar>
        <cfvo type="min"/>
        <cfvo type="max"/>
        <color rgb="FFFFB628"/>
      </dataBar>
    </cfRule>
  </conditionalFormatting>
  <conditionalFormatting sqref="AU293:AU300">
    <cfRule type="dataBar" priority="1898">
      <dataBar>
        <cfvo type="min"/>
        <cfvo type="max"/>
        <color rgb="FFFFB628"/>
      </dataBar>
    </cfRule>
  </conditionalFormatting>
  <conditionalFormatting sqref="AU306:AU313">
    <cfRule type="dataBar" priority="1967">
      <dataBar>
        <cfvo type="min"/>
        <cfvo type="max"/>
        <color rgb="FFFFB628"/>
      </dataBar>
    </cfRule>
  </conditionalFormatting>
  <conditionalFormatting sqref="AV6:AV8">
    <cfRule type="dataBar" priority="36">
      <dataBar>
        <cfvo type="min"/>
        <cfvo type="max"/>
        <color rgb="FFF08D5B"/>
      </dataBar>
    </cfRule>
  </conditionalFormatting>
  <conditionalFormatting sqref="AV14:AV16">
    <cfRule type="dataBar" priority="105">
      <dataBar>
        <cfvo type="min"/>
        <cfvo type="max"/>
        <color rgb="FFF08D5B"/>
      </dataBar>
    </cfRule>
  </conditionalFormatting>
  <conditionalFormatting sqref="AV22:AV24">
    <cfRule type="dataBar" priority="174">
      <dataBar>
        <cfvo type="min"/>
        <cfvo type="max"/>
        <color rgb="FFF08D5B"/>
      </dataBar>
    </cfRule>
  </conditionalFormatting>
  <conditionalFormatting sqref="AV30:AV36">
    <cfRule type="dataBar" priority="243">
      <dataBar>
        <cfvo type="min"/>
        <cfvo type="max"/>
        <color rgb="FFF08D5B"/>
      </dataBar>
    </cfRule>
  </conditionalFormatting>
  <conditionalFormatting sqref="AV42:AV49">
    <cfRule type="dataBar" priority="312">
      <dataBar>
        <cfvo type="min"/>
        <cfvo type="max"/>
        <color rgb="FFF08D5B"/>
      </dataBar>
    </cfRule>
  </conditionalFormatting>
  <conditionalFormatting sqref="AV55:AV58">
    <cfRule type="dataBar" priority="381">
      <dataBar>
        <cfvo type="min"/>
        <cfvo type="max"/>
        <color rgb="FFF08D5B"/>
      </dataBar>
    </cfRule>
  </conditionalFormatting>
  <conditionalFormatting sqref="AV64:AV66">
    <cfRule type="dataBar" priority="450">
      <dataBar>
        <cfvo type="min"/>
        <cfvo type="max"/>
        <color rgb="FFF08D5B"/>
      </dataBar>
    </cfRule>
  </conditionalFormatting>
  <conditionalFormatting sqref="AV72:AV78">
    <cfRule type="dataBar" priority="519">
      <dataBar>
        <cfvo type="min"/>
        <cfvo type="max"/>
        <color rgb="FFF08D5B"/>
      </dataBar>
    </cfRule>
  </conditionalFormatting>
  <conditionalFormatting sqref="AV84:AV91">
    <cfRule type="dataBar" priority="588">
      <dataBar>
        <cfvo type="min"/>
        <cfvo type="max"/>
        <color rgb="FFF08D5B"/>
      </dataBar>
    </cfRule>
  </conditionalFormatting>
  <conditionalFormatting sqref="AV97:AV100">
    <cfRule type="dataBar" priority="657">
      <dataBar>
        <cfvo type="min"/>
        <cfvo type="max"/>
        <color rgb="FFF08D5B"/>
      </dataBar>
    </cfRule>
  </conditionalFormatting>
  <conditionalFormatting sqref="AV106:AV108">
    <cfRule type="dataBar" priority="726">
      <dataBar>
        <cfvo type="min"/>
        <cfvo type="max"/>
        <color rgb="FFF08D5B"/>
      </dataBar>
    </cfRule>
  </conditionalFormatting>
  <conditionalFormatting sqref="AV114:AV120">
    <cfRule type="dataBar" priority="795">
      <dataBar>
        <cfvo type="min"/>
        <cfvo type="max"/>
        <color rgb="FFF08D5B"/>
      </dataBar>
    </cfRule>
  </conditionalFormatting>
  <conditionalFormatting sqref="AV126:AV133">
    <cfRule type="dataBar" priority="864">
      <dataBar>
        <cfvo type="min"/>
        <cfvo type="max"/>
        <color rgb="FFF08D5B"/>
      </dataBar>
    </cfRule>
  </conditionalFormatting>
  <conditionalFormatting sqref="AV139:AV142">
    <cfRule type="dataBar" priority="933">
      <dataBar>
        <cfvo type="min"/>
        <cfvo type="max"/>
        <color rgb="FFF08D5B"/>
      </dataBar>
    </cfRule>
  </conditionalFormatting>
  <conditionalFormatting sqref="AV148:AV150">
    <cfRule type="dataBar" priority="1002">
      <dataBar>
        <cfvo type="min"/>
        <cfvo type="max"/>
        <color rgb="FFF08D5B"/>
      </dataBar>
    </cfRule>
  </conditionalFormatting>
  <conditionalFormatting sqref="AV156:AV162">
    <cfRule type="dataBar" priority="1071">
      <dataBar>
        <cfvo type="min"/>
        <cfvo type="max"/>
        <color rgb="FFF08D5B"/>
      </dataBar>
    </cfRule>
  </conditionalFormatting>
  <conditionalFormatting sqref="AV168:AV175">
    <cfRule type="dataBar" priority="1140">
      <dataBar>
        <cfvo type="min"/>
        <cfvo type="max"/>
        <color rgb="FFF08D5B"/>
      </dataBar>
    </cfRule>
  </conditionalFormatting>
  <conditionalFormatting sqref="AV181:AV184">
    <cfRule type="dataBar" priority="1209">
      <dataBar>
        <cfvo type="min"/>
        <cfvo type="max"/>
        <color rgb="FFF08D5B"/>
      </dataBar>
    </cfRule>
  </conditionalFormatting>
  <conditionalFormatting sqref="AV190:AV192">
    <cfRule type="dataBar" priority="1278">
      <dataBar>
        <cfvo type="min"/>
        <cfvo type="max"/>
        <color rgb="FFF08D5B"/>
      </dataBar>
    </cfRule>
  </conditionalFormatting>
  <conditionalFormatting sqref="AV198:AV204">
    <cfRule type="dataBar" priority="1347">
      <dataBar>
        <cfvo type="min"/>
        <cfvo type="max"/>
        <color rgb="FFF08D5B"/>
      </dataBar>
    </cfRule>
  </conditionalFormatting>
  <conditionalFormatting sqref="AV210:AV212">
    <cfRule type="dataBar" priority="1416">
      <dataBar>
        <cfvo type="min"/>
        <cfvo type="max"/>
        <color rgb="FFF08D5B"/>
      </dataBar>
    </cfRule>
  </conditionalFormatting>
  <conditionalFormatting sqref="AV218:AV226">
    <cfRule type="dataBar" priority="1485">
      <dataBar>
        <cfvo type="min"/>
        <cfvo type="max"/>
        <color rgb="FFF08D5B"/>
      </dataBar>
    </cfRule>
  </conditionalFormatting>
  <conditionalFormatting sqref="AV232:AV240">
    <cfRule type="dataBar" priority="1554">
      <dataBar>
        <cfvo type="min"/>
        <cfvo type="max"/>
        <color rgb="FFF08D5B"/>
      </dataBar>
    </cfRule>
  </conditionalFormatting>
  <conditionalFormatting sqref="AV246:AV254">
    <cfRule type="dataBar" priority="1623">
      <dataBar>
        <cfvo type="min"/>
        <cfvo type="max"/>
        <color rgb="FFF08D5B"/>
      </dataBar>
    </cfRule>
  </conditionalFormatting>
  <conditionalFormatting sqref="AV260:AV268">
    <cfRule type="dataBar" priority="1692">
      <dataBar>
        <cfvo type="min"/>
        <cfvo type="max"/>
        <color rgb="FFF08D5B"/>
      </dataBar>
    </cfRule>
  </conditionalFormatting>
  <conditionalFormatting sqref="AV274:AV276">
    <cfRule type="dataBar" priority="1761">
      <dataBar>
        <cfvo type="min"/>
        <cfvo type="max"/>
        <color rgb="FFF08D5B"/>
      </dataBar>
    </cfRule>
  </conditionalFormatting>
  <conditionalFormatting sqref="AV282:AV287">
    <cfRule type="dataBar" priority="1830">
      <dataBar>
        <cfvo type="min"/>
        <cfvo type="max"/>
        <color rgb="FFF08D5B"/>
      </dataBar>
    </cfRule>
  </conditionalFormatting>
  <conditionalFormatting sqref="AV293:AV300">
    <cfRule type="dataBar" priority="1899">
      <dataBar>
        <cfvo type="min"/>
        <cfvo type="max"/>
        <color rgb="FFF08D5B"/>
      </dataBar>
    </cfRule>
  </conditionalFormatting>
  <conditionalFormatting sqref="AV306:AV313">
    <cfRule type="dataBar" priority="1968">
      <dataBar>
        <cfvo type="min"/>
        <cfvo type="max"/>
        <color rgb="FFF08D5B"/>
      </dataBar>
    </cfRule>
  </conditionalFormatting>
  <conditionalFormatting sqref="AX6:AX8">
    <cfRule type="dataBar" priority="37">
      <dataBar>
        <cfvo type="min"/>
        <cfvo type="max"/>
        <color rgb="FF628DC4"/>
      </dataBar>
    </cfRule>
  </conditionalFormatting>
  <conditionalFormatting sqref="AX14:AX16">
    <cfRule type="dataBar" priority="106">
      <dataBar>
        <cfvo type="min"/>
        <cfvo type="max"/>
        <color rgb="FF628DC4"/>
      </dataBar>
    </cfRule>
  </conditionalFormatting>
  <conditionalFormatting sqref="AX22:AX24">
    <cfRule type="dataBar" priority="175">
      <dataBar>
        <cfvo type="min"/>
        <cfvo type="max"/>
        <color rgb="FF628DC4"/>
      </dataBar>
    </cfRule>
  </conditionalFormatting>
  <conditionalFormatting sqref="AX30:AX36">
    <cfRule type="dataBar" priority="244">
      <dataBar>
        <cfvo type="min"/>
        <cfvo type="max"/>
        <color rgb="FF628DC4"/>
      </dataBar>
    </cfRule>
  </conditionalFormatting>
  <conditionalFormatting sqref="AX42:AX49">
    <cfRule type="dataBar" priority="313">
      <dataBar>
        <cfvo type="min"/>
        <cfvo type="max"/>
        <color rgb="FF628DC4"/>
      </dataBar>
    </cfRule>
  </conditionalFormatting>
  <conditionalFormatting sqref="AX55:AX58">
    <cfRule type="dataBar" priority="382">
      <dataBar>
        <cfvo type="min"/>
        <cfvo type="max"/>
        <color rgb="FF628DC4"/>
      </dataBar>
    </cfRule>
  </conditionalFormatting>
  <conditionalFormatting sqref="AX64:AX66">
    <cfRule type="dataBar" priority="451">
      <dataBar>
        <cfvo type="min"/>
        <cfvo type="max"/>
        <color rgb="FF628DC4"/>
      </dataBar>
    </cfRule>
  </conditionalFormatting>
  <conditionalFormatting sqref="AX72:AX78">
    <cfRule type="dataBar" priority="520">
      <dataBar>
        <cfvo type="min"/>
        <cfvo type="max"/>
        <color rgb="FF628DC4"/>
      </dataBar>
    </cfRule>
  </conditionalFormatting>
  <conditionalFormatting sqref="AX84:AX91">
    <cfRule type="dataBar" priority="589">
      <dataBar>
        <cfvo type="min"/>
        <cfvo type="max"/>
        <color rgb="FF628DC4"/>
      </dataBar>
    </cfRule>
  </conditionalFormatting>
  <conditionalFormatting sqref="AX97:AX100">
    <cfRule type="dataBar" priority="658">
      <dataBar>
        <cfvo type="min"/>
        <cfvo type="max"/>
        <color rgb="FF628DC4"/>
      </dataBar>
    </cfRule>
  </conditionalFormatting>
  <conditionalFormatting sqref="AX106:AX108">
    <cfRule type="dataBar" priority="727">
      <dataBar>
        <cfvo type="min"/>
        <cfvo type="max"/>
        <color rgb="FF628DC4"/>
      </dataBar>
    </cfRule>
  </conditionalFormatting>
  <conditionalFormatting sqref="AX114:AX120">
    <cfRule type="dataBar" priority="796">
      <dataBar>
        <cfvo type="min"/>
        <cfvo type="max"/>
        <color rgb="FF628DC4"/>
      </dataBar>
    </cfRule>
  </conditionalFormatting>
  <conditionalFormatting sqref="AX126:AX133">
    <cfRule type="dataBar" priority="865">
      <dataBar>
        <cfvo type="min"/>
        <cfvo type="max"/>
        <color rgb="FF628DC4"/>
      </dataBar>
    </cfRule>
  </conditionalFormatting>
  <conditionalFormatting sqref="AX139:AX142">
    <cfRule type="dataBar" priority="934">
      <dataBar>
        <cfvo type="min"/>
        <cfvo type="max"/>
        <color rgb="FF628DC4"/>
      </dataBar>
    </cfRule>
  </conditionalFormatting>
  <conditionalFormatting sqref="AX148:AX150">
    <cfRule type="dataBar" priority="1003">
      <dataBar>
        <cfvo type="min"/>
        <cfvo type="max"/>
        <color rgb="FF628DC4"/>
      </dataBar>
    </cfRule>
  </conditionalFormatting>
  <conditionalFormatting sqref="AX156:AX162">
    <cfRule type="dataBar" priority="1072">
      <dataBar>
        <cfvo type="min"/>
        <cfvo type="max"/>
        <color rgb="FF628DC4"/>
      </dataBar>
    </cfRule>
  </conditionalFormatting>
  <conditionalFormatting sqref="AX168:AX175">
    <cfRule type="dataBar" priority="1141">
      <dataBar>
        <cfvo type="min"/>
        <cfvo type="max"/>
        <color rgb="FF628DC4"/>
      </dataBar>
    </cfRule>
  </conditionalFormatting>
  <conditionalFormatting sqref="AX181:AX184">
    <cfRule type="dataBar" priority="1210">
      <dataBar>
        <cfvo type="min"/>
        <cfvo type="max"/>
        <color rgb="FF628DC4"/>
      </dataBar>
    </cfRule>
  </conditionalFormatting>
  <conditionalFormatting sqref="AX190:AX192">
    <cfRule type="dataBar" priority="1279">
      <dataBar>
        <cfvo type="min"/>
        <cfvo type="max"/>
        <color rgb="FF628DC4"/>
      </dataBar>
    </cfRule>
  </conditionalFormatting>
  <conditionalFormatting sqref="AX198:AX204">
    <cfRule type="dataBar" priority="1348">
      <dataBar>
        <cfvo type="min"/>
        <cfvo type="max"/>
        <color rgb="FF628DC4"/>
      </dataBar>
    </cfRule>
  </conditionalFormatting>
  <conditionalFormatting sqref="AX210:AX212">
    <cfRule type="dataBar" priority="1417">
      <dataBar>
        <cfvo type="min"/>
        <cfvo type="max"/>
        <color rgb="FF628DC4"/>
      </dataBar>
    </cfRule>
  </conditionalFormatting>
  <conditionalFormatting sqref="AX218:AX226">
    <cfRule type="dataBar" priority="1486">
      <dataBar>
        <cfvo type="min"/>
        <cfvo type="max"/>
        <color rgb="FF628DC4"/>
      </dataBar>
    </cfRule>
  </conditionalFormatting>
  <conditionalFormatting sqref="AX232:AX240">
    <cfRule type="dataBar" priority="1555">
      <dataBar>
        <cfvo type="min"/>
        <cfvo type="max"/>
        <color rgb="FF628DC4"/>
      </dataBar>
    </cfRule>
  </conditionalFormatting>
  <conditionalFormatting sqref="AX246:AX254">
    <cfRule type="dataBar" priority="1624">
      <dataBar>
        <cfvo type="min"/>
        <cfvo type="max"/>
        <color rgb="FF628DC4"/>
      </dataBar>
    </cfRule>
  </conditionalFormatting>
  <conditionalFormatting sqref="AX260:AX268">
    <cfRule type="dataBar" priority="1693">
      <dataBar>
        <cfvo type="min"/>
        <cfvo type="max"/>
        <color rgb="FF628DC4"/>
      </dataBar>
    </cfRule>
  </conditionalFormatting>
  <conditionalFormatting sqref="AX274:AX276">
    <cfRule type="dataBar" priority="1762">
      <dataBar>
        <cfvo type="min"/>
        <cfvo type="max"/>
        <color rgb="FF628DC4"/>
      </dataBar>
    </cfRule>
  </conditionalFormatting>
  <conditionalFormatting sqref="AX282:AX287">
    <cfRule type="dataBar" priority="1831">
      <dataBar>
        <cfvo type="min"/>
        <cfvo type="max"/>
        <color rgb="FF628DC4"/>
      </dataBar>
    </cfRule>
  </conditionalFormatting>
  <conditionalFormatting sqref="AX293:AX300">
    <cfRule type="dataBar" priority="1900">
      <dataBar>
        <cfvo type="min"/>
        <cfvo type="max"/>
        <color rgb="FF628DC4"/>
      </dataBar>
    </cfRule>
  </conditionalFormatting>
  <conditionalFormatting sqref="AX306:AX313">
    <cfRule type="dataBar" priority="1969">
      <dataBar>
        <cfvo type="min"/>
        <cfvo type="max"/>
        <color rgb="FF628DC4"/>
      </dataBar>
    </cfRule>
  </conditionalFormatting>
  <conditionalFormatting sqref="AY6:AY8">
    <cfRule type="dataBar" priority="38">
      <dataBar>
        <cfvo type="min"/>
        <cfvo type="max"/>
        <color rgb="FFFFB628"/>
      </dataBar>
    </cfRule>
  </conditionalFormatting>
  <conditionalFormatting sqref="AY14:AY16">
    <cfRule type="dataBar" priority="107">
      <dataBar>
        <cfvo type="min"/>
        <cfvo type="max"/>
        <color rgb="FFFFB628"/>
      </dataBar>
    </cfRule>
  </conditionalFormatting>
  <conditionalFormatting sqref="AY22:AY24">
    <cfRule type="dataBar" priority="176">
      <dataBar>
        <cfvo type="min"/>
        <cfvo type="max"/>
        <color rgb="FFFFB628"/>
      </dataBar>
    </cfRule>
  </conditionalFormatting>
  <conditionalFormatting sqref="AY30:AY36">
    <cfRule type="dataBar" priority="245">
      <dataBar>
        <cfvo type="min"/>
        <cfvo type="max"/>
        <color rgb="FFFFB628"/>
      </dataBar>
    </cfRule>
  </conditionalFormatting>
  <conditionalFormatting sqref="AY42:AY49">
    <cfRule type="dataBar" priority="314">
      <dataBar>
        <cfvo type="min"/>
        <cfvo type="max"/>
        <color rgb="FFFFB628"/>
      </dataBar>
    </cfRule>
  </conditionalFormatting>
  <conditionalFormatting sqref="AY55:AY58">
    <cfRule type="dataBar" priority="383">
      <dataBar>
        <cfvo type="min"/>
        <cfvo type="max"/>
        <color rgb="FFFFB628"/>
      </dataBar>
    </cfRule>
  </conditionalFormatting>
  <conditionalFormatting sqref="AY64:AY66">
    <cfRule type="dataBar" priority="452">
      <dataBar>
        <cfvo type="min"/>
        <cfvo type="max"/>
        <color rgb="FFFFB628"/>
      </dataBar>
    </cfRule>
  </conditionalFormatting>
  <conditionalFormatting sqref="AY72:AY78">
    <cfRule type="dataBar" priority="521">
      <dataBar>
        <cfvo type="min"/>
        <cfvo type="max"/>
        <color rgb="FFFFB628"/>
      </dataBar>
    </cfRule>
  </conditionalFormatting>
  <conditionalFormatting sqref="AY84:AY91">
    <cfRule type="dataBar" priority="590">
      <dataBar>
        <cfvo type="min"/>
        <cfvo type="max"/>
        <color rgb="FFFFB628"/>
      </dataBar>
    </cfRule>
  </conditionalFormatting>
  <conditionalFormatting sqref="AY97:AY100">
    <cfRule type="dataBar" priority="659">
      <dataBar>
        <cfvo type="min"/>
        <cfvo type="max"/>
        <color rgb="FFFFB628"/>
      </dataBar>
    </cfRule>
  </conditionalFormatting>
  <conditionalFormatting sqref="AY106:AY108">
    <cfRule type="dataBar" priority="728">
      <dataBar>
        <cfvo type="min"/>
        <cfvo type="max"/>
        <color rgb="FFFFB628"/>
      </dataBar>
    </cfRule>
  </conditionalFormatting>
  <conditionalFormatting sqref="AY114:AY120">
    <cfRule type="dataBar" priority="797">
      <dataBar>
        <cfvo type="min"/>
        <cfvo type="max"/>
        <color rgb="FFFFB628"/>
      </dataBar>
    </cfRule>
  </conditionalFormatting>
  <conditionalFormatting sqref="AY126:AY133">
    <cfRule type="dataBar" priority="866">
      <dataBar>
        <cfvo type="min"/>
        <cfvo type="max"/>
        <color rgb="FFFFB628"/>
      </dataBar>
    </cfRule>
  </conditionalFormatting>
  <conditionalFormatting sqref="AY139:AY142">
    <cfRule type="dataBar" priority="935">
      <dataBar>
        <cfvo type="min"/>
        <cfvo type="max"/>
        <color rgb="FFFFB628"/>
      </dataBar>
    </cfRule>
  </conditionalFormatting>
  <conditionalFormatting sqref="AY148:AY150">
    <cfRule type="dataBar" priority="1004">
      <dataBar>
        <cfvo type="min"/>
        <cfvo type="max"/>
        <color rgb="FFFFB628"/>
      </dataBar>
    </cfRule>
  </conditionalFormatting>
  <conditionalFormatting sqref="AY156:AY162">
    <cfRule type="dataBar" priority="1073">
      <dataBar>
        <cfvo type="min"/>
        <cfvo type="max"/>
        <color rgb="FFFFB628"/>
      </dataBar>
    </cfRule>
  </conditionalFormatting>
  <conditionalFormatting sqref="AY168:AY175">
    <cfRule type="dataBar" priority="1142">
      <dataBar>
        <cfvo type="min"/>
        <cfvo type="max"/>
        <color rgb="FFFFB628"/>
      </dataBar>
    </cfRule>
  </conditionalFormatting>
  <conditionalFormatting sqref="AY181:AY184">
    <cfRule type="dataBar" priority="1211">
      <dataBar>
        <cfvo type="min"/>
        <cfvo type="max"/>
        <color rgb="FFFFB628"/>
      </dataBar>
    </cfRule>
  </conditionalFormatting>
  <conditionalFormatting sqref="AY190:AY192">
    <cfRule type="dataBar" priority="1280">
      <dataBar>
        <cfvo type="min"/>
        <cfvo type="max"/>
        <color rgb="FFFFB628"/>
      </dataBar>
    </cfRule>
  </conditionalFormatting>
  <conditionalFormatting sqref="AY198:AY204">
    <cfRule type="dataBar" priority="1349">
      <dataBar>
        <cfvo type="min"/>
        <cfvo type="max"/>
        <color rgb="FFFFB628"/>
      </dataBar>
    </cfRule>
  </conditionalFormatting>
  <conditionalFormatting sqref="AY210:AY212">
    <cfRule type="dataBar" priority="1418">
      <dataBar>
        <cfvo type="min"/>
        <cfvo type="max"/>
        <color rgb="FFFFB628"/>
      </dataBar>
    </cfRule>
  </conditionalFormatting>
  <conditionalFormatting sqref="AY218:AY226">
    <cfRule type="dataBar" priority="1487">
      <dataBar>
        <cfvo type="min"/>
        <cfvo type="max"/>
        <color rgb="FFFFB628"/>
      </dataBar>
    </cfRule>
  </conditionalFormatting>
  <conditionalFormatting sqref="AY232:AY240">
    <cfRule type="dataBar" priority="1556">
      <dataBar>
        <cfvo type="min"/>
        <cfvo type="max"/>
        <color rgb="FFFFB628"/>
      </dataBar>
    </cfRule>
  </conditionalFormatting>
  <conditionalFormatting sqref="AY246:AY254">
    <cfRule type="dataBar" priority="1625">
      <dataBar>
        <cfvo type="min"/>
        <cfvo type="max"/>
        <color rgb="FFFFB628"/>
      </dataBar>
    </cfRule>
  </conditionalFormatting>
  <conditionalFormatting sqref="AY260:AY268">
    <cfRule type="dataBar" priority="1694">
      <dataBar>
        <cfvo type="min"/>
        <cfvo type="max"/>
        <color rgb="FFFFB628"/>
      </dataBar>
    </cfRule>
  </conditionalFormatting>
  <conditionalFormatting sqref="AY274:AY276">
    <cfRule type="dataBar" priority="1763">
      <dataBar>
        <cfvo type="min"/>
        <cfvo type="max"/>
        <color rgb="FFFFB628"/>
      </dataBar>
    </cfRule>
  </conditionalFormatting>
  <conditionalFormatting sqref="AY282:AY287">
    <cfRule type="dataBar" priority="1832">
      <dataBar>
        <cfvo type="min"/>
        <cfvo type="max"/>
        <color rgb="FFFFB628"/>
      </dataBar>
    </cfRule>
  </conditionalFormatting>
  <conditionalFormatting sqref="AY293:AY300">
    <cfRule type="dataBar" priority="1901">
      <dataBar>
        <cfvo type="min"/>
        <cfvo type="max"/>
        <color rgb="FFFFB628"/>
      </dataBar>
    </cfRule>
  </conditionalFormatting>
  <conditionalFormatting sqref="AY306:AY313">
    <cfRule type="dataBar" priority="1970">
      <dataBar>
        <cfvo type="min"/>
        <cfvo type="max"/>
        <color rgb="FFFFB628"/>
      </dataBar>
    </cfRule>
  </conditionalFormatting>
  <conditionalFormatting sqref="AZ6:AZ8">
    <cfRule type="dataBar" priority="39">
      <dataBar>
        <cfvo type="min"/>
        <cfvo type="max"/>
        <color rgb="FFF08D5B"/>
      </dataBar>
    </cfRule>
  </conditionalFormatting>
  <conditionalFormatting sqref="AZ14:AZ16">
    <cfRule type="dataBar" priority="108">
      <dataBar>
        <cfvo type="min"/>
        <cfvo type="max"/>
        <color rgb="FFF08D5B"/>
      </dataBar>
    </cfRule>
  </conditionalFormatting>
  <conditionalFormatting sqref="AZ22:AZ24">
    <cfRule type="dataBar" priority="177">
      <dataBar>
        <cfvo type="min"/>
        <cfvo type="max"/>
        <color rgb="FFF08D5B"/>
      </dataBar>
    </cfRule>
  </conditionalFormatting>
  <conditionalFormatting sqref="AZ30:AZ36">
    <cfRule type="dataBar" priority="246">
      <dataBar>
        <cfvo type="min"/>
        <cfvo type="max"/>
        <color rgb="FFF08D5B"/>
      </dataBar>
    </cfRule>
  </conditionalFormatting>
  <conditionalFormatting sqref="AZ42:AZ49">
    <cfRule type="dataBar" priority="315">
      <dataBar>
        <cfvo type="min"/>
        <cfvo type="max"/>
        <color rgb="FFF08D5B"/>
      </dataBar>
    </cfRule>
  </conditionalFormatting>
  <conditionalFormatting sqref="AZ55:AZ58">
    <cfRule type="dataBar" priority="384">
      <dataBar>
        <cfvo type="min"/>
        <cfvo type="max"/>
        <color rgb="FFF08D5B"/>
      </dataBar>
    </cfRule>
  </conditionalFormatting>
  <conditionalFormatting sqref="AZ64:AZ66">
    <cfRule type="dataBar" priority="453">
      <dataBar>
        <cfvo type="min"/>
        <cfvo type="max"/>
        <color rgb="FFF08D5B"/>
      </dataBar>
    </cfRule>
  </conditionalFormatting>
  <conditionalFormatting sqref="AZ72:AZ78">
    <cfRule type="dataBar" priority="522">
      <dataBar>
        <cfvo type="min"/>
        <cfvo type="max"/>
        <color rgb="FFF08D5B"/>
      </dataBar>
    </cfRule>
  </conditionalFormatting>
  <conditionalFormatting sqref="AZ84:AZ91">
    <cfRule type="dataBar" priority="591">
      <dataBar>
        <cfvo type="min"/>
        <cfvo type="max"/>
        <color rgb="FFF08D5B"/>
      </dataBar>
    </cfRule>
  </conditionalFormatting>
  <conditionalFormatting sqref="AZ97:AZ100">
    <cfRule type="dataBar" priority="660">
      <dataBar>
        <cfvo type="min"/>
        <cfvo type="max"/>
        <color rgb="FFF08D5B"/>
      </dataBar>
    </cfRule>
  </conditionalFormatting>
  <conditionalFormatting sqref="AZ106:AZ108">
    <cfRule type="dataBar" priority="729">
      <dataBar>
        <cfvo type="min"/>
        <cfvo type="max"/>
        <color rgb="FFF08D5B"/>
      </dataBar>
    </cfRule>
  </conditionalFormatting>
  <conditionalFormatting sqref="AZ114:AZ120">
    <cfRule type="dataBar" priority="798">
      <dataBar>
        <cfvo type="min"/>
        <cfvo type="max"/>
        <color rgb="FFF08D5B"/>
      </dataBar>
    </cfRule>
  </conditionalFormatting>
  <conditionalFormatting sqref="AZ126:AZ133">
    <cfRule type="dataBar" priority="867">
      <dataBar>
        <cfvo type="min"/>
        <cfvo type="max"/>
        <color rgb="FFF08D5B"/>
      </dataBar>
    </cfRule>
  </conditionalFormatting>
  <conditionalFormatting sqref="AZ139:AZ142">
    <cfRule type="dataBar" priority="936">
      <dataBar>
        <cfvo type="min"/>
        <cfvo type="max"/>
        <color rgb="FFF08D5B"/>
      </dataBar>
    </cfRule>
  </conditionalFormatting>
  <conditionalFormatting sqref="AZ148:AZ150">
    <cfRule type="dataBar" priority="1005">
      <dataBar>
        <cfvo type="min"/>
        <cfvo type="max"/>
        <color rgb="FFF08D5B"/>
      </dataBar>
    </cfRule>
  </conditionalFormatting>
  <conditionalFormatting sqref="AZ156:AZ162">
    <cfRule type="dataBar" priority="1074">
      <dataBar>
        <cfvo type="min"/>
        <cfvo type="max"/>
        <color rgb="FFF08D5B"/>
      </dataBar>
    </cfRule>
  </conditionalFormatting>
  <conditionalFormatting sqref="AZ168:AZ175">
    <cfRule type="dataBar" priority="1143">
      <dataBar>
        <cfvo type="min"/>
        <cfvo type="max"/>
        <color rgb="FFF08D5B"/>
      </dataBar>
    </cfRule>
  </conditionalFormatting>
  <conditionalFormatting sqref="AZ181:AZ184">
    <cfRule type="dataBar" priority="1212">
      <dataBar>
        <cfvo type="min"/>
        <cfvo type="max"/>
        <color rgb="FFF08D5B"/>
      </dataBar>
    </cfRule>
  </conditionalFormatting>
  <conditionalFormatting sqref="AZ190:AZ192">
    <cfRule type="dataBar" priority="1281">
      <dataBar>
        <cfvo type="min"/>
        <cfvo type="max"/>
        <color rgb="FFF08D5B"/>
      </dataBar>
    </cfRule>
  </conditionalFormatting>
  <conditionalFormatting sqref="AZ198:AZ204">
    <cfRule type="dataBar" priority="1350">
      <dataBar>
        <cfvo type="min"/>
        <cfvo type="max"/>
        <color rgb="FFF08D5B"/>
      </dataBar>
    </cfRule>
  </conditionalFormatting>
  <conditionalFormatting sqref="AZ210:AZ212">
    <cfRule type="dataBar" priority="1419">
      <dataBar>
        <cfvo type="min"/>
        <cfvo type="max"/>
        <color rgb="FFF08D5B"/>
      </dataBar>
    </cfRule>
  </conditionalFormatting>
  <conditionalFormatting sqref="AZ218:AZ226">
    <cfRule type="dataBar" priority="1488">
      <dataBar>
        <cfvo type="min"/>
        <cfvo type="max"/>
        <color rgb="FFF08D5B"/>
      </dataBar>
    </cfRule>
  </conditionalFormatting>
  <conditionalFormatting sqref="AZ232:AZ240">
    <cfRule type="dataBar" priority="1557">
      <dataBar>
        <cfvo type="min"/>
        <cfvo type="max"/>
        <color rgb="FFF08D5B"/>
      </dataBar>
    </cfRule>
  </conditionalFormatting>
  <conditionalFormatting sqref="AZ246:AZ254">
    <cfRule type="dataBar" priority="1626">
      <dataBar>
        <cfvo type="min"/>
        <cfvo type="max"/>
        <color rgb="FFF08D5B"/>
      </dataBar>
    </cfRule>
  </conditionalFormatting>
  <conditionalFormatting sqref="AZ260:AZ268">
    <cfRule type="dataBar" priority="1695">
      <dataBar>
        <cfvo type="min"/>
        <cfvo type="max"/>
        <color rgb="FFF08D5B"/>
      </dataBar>
    </cfRule>
  </conditionalFormatting>
  <conditionalFormatting sqref="AZ274:AZ276">
    <cfRule type="dataBar" priority="1764">
      <dataBar>
        <cfvo type="min"/>
        <cfvo type="max"/>
        <color rgb="FFF08D5B"/>
      </dataBar>
    </cfRule>
  </conditionalFormatting>
  <conditionalFormatting sqref="AZ282:AZ287">
    <cfRule type="dataBar" priority="1833">
      <dataBar>
        <cfvo type="min"/>
        <cfvo type="max"/>
        <color rgb="FFF08D5B"/>
      </dataBar>
    </cfRule>
  </conditionalFormatting>
  <conditionalFormatting sqref="AZ293:AZ300">
    <cfRule type="dataBar" priority="1902">
      <dataBar>
        <cfvo type="min"/>
        <cfvo type="max"/>
        <color rgb="FFF08D5B"/>
      </dataBar>
    </cfRule>
  </conditionalFormatting>
  <conditionalFormatting sqref="AZ306:AZ313">
    <cfRule type="dataBar" priority="1971">
      <dataBar>
        <cfvo type="min"/>
        <cfvo type="max"/>
        <color rgb="FFF08D5B"/>
      </dataBar>
    </cfRule>
  </conditionalFormatting>
  <conditionalFormatting sqref="BB6:BB8">
    <cfRule type="dataBar" priority="40">
      <dataBar>
        <cfvo type="min"/>
        <cfvo type="max"/>
        <color rgb="FF628DC4"/>
      </dataBar>
    </cfRule>
  </conditionalFormatting>
  <conditionalFormatting sqref="BB14:BB16">
    <cfRule type="dataBar" priority="109">
      <dataBar>
        <cfvo type="min"/>
        <cfvo type="max"/>
        <color rgb="FF628DC4"/>
      </dataBar>
    </cfRule>
  </conditionalFormatting>
  <conditionalFormatting sqref="BB22:BB24">
    <cfRule type="dataBar" priority="178">
      <dataBar>
        <cfvo type="min"/>
        <cfvo type="max"/>
        <color rgb="FF628DC4"/>
      </dataBar>
    </cfRule>
  </conditionalFormatting>
  <conditionalFormatting sqref="BB30:BB36">
    <cfRule type="dataBar" priority="247">
      <dataBar>
        <cfvo type="min"/>
        <cfvo type="max"/>
        <color rgb="FF628DC4"/>
      </dataBar>
    </cfRule>
  </conditionalFormatting>
  <conditionalFormatting sqref="BB42:BB49">
    <cfRule type="dataBar" priority="316">
      <dataBar>
        <cfvo type="min"/>
        <cfvo type="max"/>
        <color rgb="FF628DC4"/>
      </dataBar>
    </cfRule>
  </conditionalFormatting>
  <conditionalFormatting sqref="BB55:BB58">
    <cfRule type="dataBar" priority="385">
      <dataBar>
        <cfvo type="min"/>
        <cfvo type="max"/>
        <color rgb="FF628DC4"/>
      </dataBar>
    </cfRule>
  </conditionalFormatting>
  <conditionalFormatting sqref="BB64:BB66">
    <cfRule type="dataBar" priority="454">
      <dataBar>
        <cfvo type="min"/>
        <cfvo type="max"/>
        <color rgb="FF628DC4"/>
      </dataBar>
    </cfRule>
  </conditionalFormatting>
  <conditionalFormatting sqref="BB72:BB78">
    <cfRule type="dataBar" priority="523">
      <dataBar>
        <cfvo type="min"/>
        <cfvo type="max"/>
        <color rgb="FF628DC4"/>
      </dataBar>
    </cfRule>
  </conditionalFormatting>
  <conditionalFormatting sqref="BB84:BB91">
    <cfRule type="dataBar" priority="592">
      <dataBar>
        <cfvo type="min"/>
        <cfvo type="max"/>
        <color rgb="FF628DC4"/>
      </dataBar>
    </cfRule>
  </conditionalFormatting>
  <conditionalFormatting sqref="BB97:BB100">
    <cfRule type="dataBar" priority="661">
      <dataBar>
        <cfvo type="min"/>
        <cfvo type="max"/>
        <color rgb="FF628DC4"/>
      </dataBar>
    </cfRule>
  </conditionalFormatting>
  <conditionalFormatting sqref="BB106:BB108">
    <cfRule type="dataBar" priority="730">
      <dataBar>
        <cfvo type="min"/>
        <cfvo type="max"/>
        <color rgb="FF628DC4"/>
      </dataBar>
    </cfRule>
  </conditionalFormatting>
  <conditionalFormatting sqref="BB114:BB120">
    <cfRule type="dataBar" priority="799">
      <dataBar>
        <cfvo type="min"/>
        <cfvo type="max"/>
        <color rgb="FF628DC4"/>
      </dataBar>
    </cfRule>
  </conditionalFormatting>
  <conditionalFormatting sqref="BB126:BB133">
    <cfRule type="dataBar" priority="868">
      <dataBar>
        <cfvo type="min"/>
        <cfvo type="max"/>
        <color rgb="FF628DC4"/>
      </dataBar>
    </cfRule>
  </conditionalFormatting>
  <conditionalFormatting sqref="BB139:BB142">
    <cfRule type="dataBar" priority="937">
      <dataBar>
        <cfvo type="min"/>
        <cfvo type="max"/>
        <color rgb="FF628DC4"/>
      </dataBar>
    </cfRule>
  </conditionalFormatting>
  <conditionalFormatting sqref="BB148:BB150">
    <cfRule type="dataBar" priority="1006">
      <dataBar>
        <cfvo type="min"/>
        <cfvo type="max"/>
        <color rgb="FF628DC4"/>
      </dataBar>
    </cfRule>
  </conditionalFormatting>
  <conditionalFormatting sqref="BB156:BB162">
    <cfRule type="dataBar" priority="1075">
      <dataBar>
        <cfvo type="min"/>
        <cfvo type="max"/>
        <color rgb="FF628DC4"/>
      </dataBar>
    </cfRule>
  </conditionalFormatting>
  <conditionalFormatting sqref="BB168:BB175">
    <cfRule type="dataBar" priority="1144">
      <dataBar>
        <cfvo type="min"/>
        <cfvo type="max"/>
        <color rgb="FF628DC4"/>
      </dataBar>
    </cfRule>
  </conditionalFormatting>
  <conditionalFormatting sqref="BB181:BB184">
    <cfRule type="dataBar" priority="1213">
      <dataBar>
        <cfvo type="min"/>
        <cfvo type="max"/>
        <color rgb="FF628DC4"/>
      </dataBar>
    </cfRule>
  </conditionalFormatting>
  <conditionalFormatting sqref="BB190:BB192">
    <cfRule type="dataBar" priority="1282">
      <dataBar>
        <cfvo type="min"/>
        <cfvo type="max"/>
        <color rgb="FF628DC4"/>
      </dataBar>
    </cfRule>
  </conditionalFormatting>
  <conditionalFormatting sqref="BB198:BB204">
    <cfRule type="dataBar" priority="1351">
      <dataBar>
        <cfvo type="min"/>
        <cfvo type="max"/>
        <color rgb="FF628DC4"/>
      </dataBar>
    </cfRule>
  </conditionalFormatting>
  <conditionalFormatting sqref="BB210:BB212">
    <cfRule type="dataBar" priority="1420">
      <dataBar>
        <cfvo type="min"/>
        <cfvo type="max"/>
        <color rgb="FF628DC4"/>
      </dataBar>
    </cfRule>
  </conditionalFormatting>
  <conditionalFormatting sqref="BB218:BB226">
    <cfRule type="dataBar" priority="1489">
      <dataBar>
        <cfvo type="min"/>
        <cfvo type="max"/>
        <color rgb="FF628DC4"/>
      </dataBar>
    </cfRule>
  </conditionalFormatting>
  <conditionalFormatting sqref="BB232:BB240">
    <cfRule type="dataBar" priority="1558">
      <dataBar>
        <cfvo type="min"/>
        <cfvo type="max"/>
        <color rgb="FF628DC4"/>
      </dataBar>
    </cfRule>
  </conditionalFormatting>
  <conditionalFormatting sqref="BB246:BB254">
    <cfRule type="dataBar" priority="1627">
      <dataBar>
        <cfvo type="min"/>
        <cfvo type="max"/>
        <color rgb="FF628DC4"/>
      </dataBar>
    </cfRule>
  </conditionalFormatting>
  <conditionalFormatting sqref="BB260:BB268">
    <cfRule type="dataBar" priority="1696">
      <dataBar>
        <cfvo type="min"/>
        <cfvo type="max"/>
        <color rgb="FF628DC4"/>
      </dataBar>
    </cfRule>
  </conditionalFormatting>
  <conditionalFormatting sqref="BB274:BB276">
    <cfRule type="dataBar" priority="1765">
      <dataBar>
        <cfvo type="min"/>
        <cfvo type="max"/>
        <color rgb="FF628DC4"/>
      </dataBar>
    </cfRule>
  </conditionalFormatting>
  <conditionalFormatting sqref="BB282:BB287">
    <cfRule type="dataBar" priority="1834">
      <dataBar>
        <cfvo type="min"/>
        <cfvo type="max"/>
        <color rgb="FF628DC4"/>
      </dataBar>
    </cfRule>
  </conditionalFormatting>
  <conditionalFormatting sqref="BB293:BB300">
    <cfRule type="dataBar" priority="1903">
      <dataBar>
        <cfvo type="min"/>
        <cfvo type="max"/>
        <color rgb="FF628DC4"/>
      </dataBar>
    </cfRule>
  </conditionalFormatting>
  <conditionalFormatting sqref="BB306:BB313">
    <cfRule type="dataBar" priority="1972">
      <dataBar>
        <cfvo type="min"/>
        <cfvo type="max"/>
        <color rgb="FF628DC4"/>
      </dataBar>
    </cfRule>
  </conditionalFormatting>
  <conditionalFormatting sqref="BC6:BC8">
    <cfRule type="dataBar" priority="41">
      <dataBar>
        <cfvo type="min"/>
        <cfvo type="max"/>
        <color rgb="FFFFB628"/>
      </dataBar>
    </cfRule>
  </conditionalFormatting>
  <conditionalFormatting sqref="BC14:BC16">
    <cfRule type="dataBar" priority="110">
      <dataBar>
        <cfvo type="min"/>
        <cfvo type="max"/>
        <color rgb="FFFFB628"/>
      </dataBar>
    </cfRule>
  </conditionalFormatting>
  <conditionalFormatting sqref="BC22:BC24">
    <cfRule type="dataBar" priority="179">
      <dataBar>
        <cfvo type="min"/>
        <cfvo type="max"/>
        <color rgb="FFFFB628"/>
      </dataBar>
    </cfRule>
  </conditionalFormatting>
  <conditionalFormatting sqref="BC30:BC36">
    <cfRule type="dataBar" priority="248">
      <dataBar>
        <cfvo type="min"/>
        <cfvo type="max"/>
        <color rgb="FFFFB628"/>
      </dataBar>
    </cfRule>
  </conditionalFormatting>
  <conditionalFormatting sqref="BC42:BC49">
    <cfRule type="dataBar" priority="317">
      <dataBar>
        <cfvo type="min"/>
        <cfvo type="max"/>
        <color rgb="FFFFB628"/>
      </dataBar>
    </cfRule>
  </conditionalFormatting>
  <conditionalFormatting sqref="BC55:BC58">
    <cfRule type="dataBar" priority="386">
      <dataBar>
        <cfvo type="min"/>
        <cfvo type="max"/>
        <color rgb="FFFFB628"/>
      </dataBar>
    </cfRule>
  </conditionalFormatting>
  <conditionalFormatting sqref="BC64:BC66">
    <cfRule type="dataBar" priority="455">
      <dataBar>
        <cfvo type="min"/>
        <cfvo type="max"/>
        <color rgb="FFFFB628"/>
      </dataBar>
    </cfRule>
  </conditionalFormatting>
  <conditionalFormatting sqref="BC72:BC78">
    <cfRule type="dataBar" priority="524">
      <dataBar>
        <cfvo type="min"/>
        <cfvo type="max"/>
        <color rgb="FFFFB628"/>
      </dataBar>
    </cfRule>
  </conditionalFormatting>
  <conditionalFormatting sqref="BC84:BC91">
    <cfRule type="dataBar" priority="593">
      <dataBar>
        <cfvo type="min"/>
        <cfvo type="max"/>
        <color rgb="FFFFB628"/>
      </dataBar>
    </cfRule>
  </conditionalFormatting>
  <conditionalFormatting sqref="BC97:BC100">
    <cfRule type="dataBar" priority="662">
      <dataBar>
        <cfvo type="min"/>
        <cfvo type="max"/>
        <color rgb="FFFFB628"/>
      </dataBar>
    </cfRule>
  </conditionalFormatting>
  <conditionalFormatting sqref="BC106:BC108">
    <cfRule type="dataBar" priority="731">
      <dataBar>
        <cfvo type="min"/>
        <cfvo type="max"/>
        <color rgb="FFFFB628"/>
      </dataBar>
    </cfRule>
  </conditionalFormatting>
  <conditionalFormatting sqref="BC114:BC120">
    <cfRule type="dataBar" priority="800">
      <dataBar>
        <cfvo type="min"/>
        <cfvo type="max"/>
        <color rgb="FFFFB628"/>
      </dataBar>
    </cfRule>
  </conditionalFormatting>
  <conditionalFormatting sqref="BC126:BC133">
    <cfRule type="dataBar" priority="869">
      <dataBar>
        <cfvo type="min"/>
        <cfvo type="max"/>
        <color rgb="FFFFB628"/>
      </dataBar>
    </cfRule>
  </conditionalFormatting>
  <conditionalFormatting sqref="BC139:BC142">
    <cfRule type="dataBar" priority="938">
      <dataBar>
        <cfvo type="min"/>
        <cfvo type="max"/>
        <color rgb="FFFFB628"/>
      </dataBar>
    </cfRule>
  </conditionalFormatting>
  <conditionalFormatting sqref="BC148:BC150">
    <cfRule type="dataBar" priority="1007">
      <dataBar>
        <cfvo type="min"/>
        <cfvo type="max"/>
        <color rgb="FFFFB628"/>
      </dataBar>
    </cfRule>
  </conditionalFormatting>
  <conditionalFormatting sqref="BC156:BC162">
    <cfRule type="dataBar" priority="1076">
      <dataBar>
        <cfvo type="min"/>
        <cfvo type="max"/>
        <color rgb="FFFFB628"/>
      </dataBar>
    </cfRule>
  </conditionalFormatting>
  <conditionalFormatting sqref="BC168:BC175">
    <cfRule type="dataBar" priority="1145">
      <dataBar>
        <cfvo type="min"/>
        <cfvo type="max"/>
        <color rgb="FFFFB628"/>
      </dataBar>
    </cfRule>
  </conditionalFormatting>
  <conditionalFormatting sqref="BC181:BC184">
    <cfRule type="dataBar" priority="1214">
      <dataBar>
        <cfvo type="min"/>
        <cfvo type="max"/>
        <color rgb="FFFFB628"/>
      </dataBar>
    </cfRule>
  </conditionalFormatting>
  <conditionalFormatting sqref="BC190:BC192">
    <cfRule type="dataBar" priority="1283">
      <dataBar>
        <cfvo type="min"/>
        <cfvo type="max"/>
        <color rgb="FFFFB628"/>
      </dataBar>
    </cfRule>
  </conditionalFormatting>
  <conditionalFormatting sqref="BC198:BC204">
    <cfRule type="dataBar" priority="1352">
      <dataBar>
        <cfvo type="min"/>
        <cfvo type="max"/>
        <color rgb="FFFFB628"/>
      </dataBar>
    </cfRule>
  </conditionalFormatting>
  <conditionalFormatting sqref="BC210:BC212">
    <cfRule type="dataBar" priority="1421">
      <dataBar>
        <cfvo type="min"/>
        <cfvo type="max"/>
        <color rgb="FFFFB628"/>
      </dataBar>
    </cfRule>
  </conditionalFormatting>
  <conditionalFormatting sqref="BC218:BC226">
    <cfRule type="dataBar" priority="1490">
      <dataBar>
        <cfvo type="min"/>
        <cfvo type="max"/>
        <color rgb="FFFFB628"/>
      </dataBar>
    </cfRule>
  </conditionalFormatting>
  <conditionalFormatting sqref="BC232:BC240">
    <cfRule type="dataBar" priority="1559">
      <dataBar>
        <cfvo type="min"/>
        <cfvo type="max"/>
        <color rgb="FFFFB628"/>
      </dataBar>
    </cfRule>
  </conditionalFormatting>
  <conditionalFormatting sqref="BC246:BC254">
    <cfRule type="dataBar" priority="1628">
      <dataBar>
        <cfvo type="min"/>
        <cfvo type="max"/>
        <color rgb="FFFFB628"/>
      </dataBar>
    </cfRule>
  </conditionalFormatting>
  <conditionalFormatting sqref="BC260:BC268">
    <cfRule type="dataBar" priority="1697">
      <dataBar>
        <cfvo type="min"/>
        <cfvo type="max"/>
        <color rgb="FFFFB628"/>
      </dataBar>
    </cfRule>
  </conditionalFormatting>
  <conditionalFormatting sqref="BC274:BC276">
    <cfRule type="dataBar" priority="1766">
      <dataBar>
        <cfvo type="min"/>
        <cfvo type="max"/>
        <color rgb="FFFFB628"/>
      </dataBar>
    </cfRule>
  </conditionalFormatting>
  <conditionalFormatting sqref="BC282:BC287">
    <cfRule type="dataBar" priority="1835">
      <dataBar>
        <cfvo type="min"/>
        <cfvo type="max"/>
        <color rgb="FFFFB628"/>
      </dataBar>
    </cfRule>
  </conditionalFormatting>
  <conditionalFormatting sqref="BC293:BC300">
    <cfRule type="dataBar" priority="1904">
      <dataBar>
        <cfvo type="min"/>
        <cfvo type="max"/>
        <color rgb="FFFFB628"/>
      </dataBar>
    </cfRule>
  </conditionalFormatting>
  <conditionalFormatting sqref="BC306:BC313">
    <cfRule type="dataBar" priority="1973">
      <dataBar>
        <cfvo type="min"/>
        <cfvo type="max"/>
        <color rgb="FFFFB628"/>
      </dataBar>
    </cfRule>
  </conditionalFormatting>
  <conditionalFormatting sqref="BD6:BD8">
    <cfRule type="dataBar" priority="42">
      <dataBar>
        <cfvo type="min"/>
        <cfvo type="max"/>
        <color rgb="FFF08D5B"/>
      </dataBar>
    </cfRule>
  </conditionalFormatting>
  <conditionalFormatting sqref="BD14:BD16">
    <cfRule type="dataBar" priority="111">
      <dataBar>
        <cfvo type="min"/>
        <cfvo type="max"/>
        <color rgb="FFF08D5B"/>
      </dataBar>
    </cfRule>
  </conditionalFormatting>
  <conditionalFormatting sqref="BD22:BD24">
    <cfRule type="dataBar" priority="180">
      <dataBar>
        <cfvo type="min"/>
        <cfvo type="max"/>
        <color rgb="FFF08D5B"/>
      </dataBar>
    </cfRule>
  </conditionalFormatting>
  <conditionalFormatting sqref="BD30:BD36">
    <cfRule type="dataBar" priority="249">
      <dataBar>
        <cfvo type="min"/>
        <cfvo type="max"/>
        <color rgb="FFF08D5B"/>
      </dataBar>
    </cfRule>
  </conditionalFormatting>
  <conditionalFormatting sqref="BD42:BD49">
    <cfRule type="dataBar" priority="318">
      <dataBar>
        <cfvo type="min"/>
        <cfvo type="max"/>
        <color rgb="FFF08D5B"/>
      </dataBar>
    </cfRule>
  </conditionalFormatting>
  <conditionalFormatting sqref="BD55:BD58">
    <cfRule type="dataBar" priority="387">
      <dataBar>
        <cfvo type="min"/>
        <cfvo type="max"/>
        <color rgb="FFF08D5B"/>
      </dataBar>
    </cfRule>
  </conditionalFormatting>
  <conditionalFormatting sqref="BD64:BD66">
    <cfRule type="dataBar" priority="456">
      <dataBar>
        <cfvo type="min"/>
        <cfvo type="max"/>
        <color rgb="FFF08D5B"/>
      </dataBar>
    </cfRule>
  </conditionalFormatting>
  <conditionalFormatting sqref="BD72:BD78">
    <cfRule type="dataBar" priority="525">
      <dataBar>
        <cfvo type="min"/>
        <cfvo type="max"/>
        <color rgb="FFF08D5B"/>
      </dataBar>
    </cfRule>
  </conditionalFormatting>
  <conditionalFormatting sqref="BD84:BD91">
    <cfRule type="dataBar" priority="594">
      <dataBar>
        <cfvo type="min"/>
        <cfvo type="max"/>
        <color rgb="FFF08D5B"/>
      </dataBar>
    </cfRule>
  </conditionalFormatting>
  <conditionalFormatting sqref="BD97:BD100">
    <cfRule type="dataBar" priority="663">
      <dataBar>
        <cfvo type="min"/>
        <cfvo type="max"/>
        <color rgb="FFF08D5B"/>
      </dataBar>
    </cfRule>
  </conditionalFormatting>
  <conditionalFormatting sqref="BD106:BD108">
    <cfRule type="dataBar" priority="732">
      <dataBar>
        <cfvo type="min"/>
        <cfvo type="max"/>
        <color rgb="FFF08D5B"/>
      </dataBar>
    </cfRule>
  </conditionalFormatting>
  <conditionalFormatting sqref="BD114:BD120">
    <cfRule type="dataBar" priority="801">
      <dataBar>
        <cfvo type="min"/>
        <cfvo type="max"/>
        <color rgb="FFF08D5B"/>
      </dataBar>
    </cfRule>
  </conditionalFormatting>
  <conditionalFormatting sqref="BD126:BD133">
    <cfRule type="dataBar" priority="870">
      <dataBar>
        <cfvo type="min"/>
        <cfvo type="max"/>
        <color rgb="FFF08D5B"/>
      </dataBar>
    </cfRule>
  </conditionalFormatting>
  <conditionalFormatting sqref="BD139:BD142">
    <cfRule type="dataBar" priority="939">
      <dataBar>
        <cfvo type="min"/>
        <cfvo type="max"/>
        <color rgb="FFF08D5B"/>
      </dataBar>
    </cfRule>
  </conditionalFormatting>
  <conditionalFormatting sqref="BD148:BD150">
    <cfRule type="dataBar" priority="1008">
      <dataBar>
        <cfvo type="min"/>
        <cfvo type="max"/>
        <color rgb="FFF08D5B"/>
      </dataBar>
    </cfRule>
  </conditionalFormatting>
  <conditionalFormatting sqref="BD156:BD162">
    <cfRule type="dataBar" priority="1077">
      <dataBar>
        <cfvo type="min"/>
        <cfvo type="max"/>
        <color rgb="FFF08D5B"/>
      </dataBar>
    </cfRule>
  </conditionalFormatting>
  <conditionalFormatting sqref="BD168:BD175">
    <cfRule type="dataBar" priority="1146">
      <dataBar>
        <cfvo type="min"/>
        <cfvo type="max"/>
        <color rgb="FFF08D5B"/>
      </dataBar>
    </cfRule>
  </conditionalFormatting>
  <conditionalFormatting sqref="BD181:BD184">
    <cfRule type="dataBar" priority="1215">
      <dataBar>
        <cfvo type="min"/>
        <cfvo type="max"/>
        <color rgb="FFF08D5B"/>
      </dataBar>
    </cfRule>
  </conditionalFormatting>
  <conditionalFormatting sqref="BD190:BD192">
    <cfRule type="dataBar" priority="1284">
      <dataBar>
        <cfvo type="min"/>
        <cfvo type="max"/>
        <color rgb="FFF08D5B"/>
      </dataBar>
    </cfRule>
  </conditionalFormatting>
  <conditionalFormatting sqref="BD198:BD204">
    <cfRule type="dataBar" priority="1353">
      <dataBar>
        <cfvo type="min"/>
        <cfvo type="max"/>
        <color rgb="FFF08D5B"/>
      </dataBar>
    </cfRule>
  </conditionalFormatting>
  <conditionalFormatting sqref="BD210:BD212">
    <cfRule type="dataBar" priority="1422">
      <dataBar>
        <cfvo type="min"/>
        <cfvo type="max"/>
        <color rgb="FFF08D5B"/>
      </dataBar>
    </cfRule>
  </conditionalFormatting>
  <conditionalFormatting sqref="BD218:BD226">
    <cfRule type="dataBar" priority="1491">
      <dataBar>
        <cfvo type="min"/>
        <cfvo type="max"/>
        <color rgb="FFF08D5B"/>
      </dataBar>
    </cfRule>
  </conditionalFormatting>
  <conditionalFormatting sqref="BD232:BD240">
    <cfRule type="dataBar" priority="1560">
      <dataBar>
        <cfvo type="min"/>
        <cfvo type="max"/>
        <color rgb="FFF08D5B"/>
      </dataBar>
    </cfRule>
  </conditionalFormatting>
  <conditionalFormatting sqref="BD246:BD254">
    <cfRule type="dataBar" priority="1629">
      <dataBar>
        <cfvo type="min"/>
        <cfvo type="max"/>
        <color rgb="FFF08D5B"/>
      </dataBar>
    </cfRule>
  </conditionalFormatting>
  <conditionalFormatting sqref="BD260:BD268">
    <cfRule type="dataBar" priority="1698">
      <dataBar>
        <cfvo type="min"/>
        <cfvo type="max"/>
        <color rgb="FFF08D5B"/>
      </dataBar>
    </cfRule>
  </conditionalFormatting>
  <conditionalFormatting sqref="BD274:BD276">
    <cfRule type="dataBar" priority="1767">
      <dataBar>
        <cfvo type="min"/>
        <cfvo type="max"/>
        <color rgb="FFF08D5B"/>
      </dataBar>
    </cfRule>
  </conditionalFormatting>
  <conditionalFormatting sqref="BD282:BD287">
    <cfRule type="dataBar" priority="1836">
      <dataBar>
        <cfvo type="min"/>
        <cfvo type="max"/>
        <color rgb="FFF08D5B"/>
      </dataBar>
    </cfRule>
  </conditionalFormatting>
  <conditionalFormatting sqref="BD293:BD300">
    <cfRule type="dataBar" priority="1905">
      <dataBar>
        <cfvo type="min"/>
        <cfvo type="max"/>
        <color rgb="FFF08D5B"/>
      </dataBar>
    </cfRule>
  </conditionalFormatting>
  <conditionalFormatting sqref="BD306:BD313">
    <cfRule type="dataBar" priority="1974">
      <dataBar>
        <cfvo type="min"/>
        <cfvo type="max"/>
        <color rgb="FFF08D5B"/>
      </dataBar>
    </cfRule>
  </conditionalFormatting>
  <conditionalFormatting sqref="BF6:BF8">
    <cfRule type="dataBar" priority="43">
      <dataBar>
        <cfvo type="min"/>
        <cfvo type="max"/>
        <color rgb="FF628DC4"/>
      </dataBar>
    </cfRule>
  </conditionalFormatting>
  <conditionalFormatting sqref="BF14:BF16">
    <cfRule type="dataBar" priority="112">
      <dataBar>
        <cfvo type="min"/>
        <cfvo type="max"/>
        <color rgb="FF628DC4"/>
      </dataBar>
    </cfRule>
  </conditionalFormatting>
  <conditionalFormatting sqref="BF22:BF24">
    <cfRule type="dataBar" priority="181">
      <dataBar>
        <cfvo type="min"/>
        <cfvo type="max"/>
        <color rgb="FF628DC4"/>
      </dataBar>
    </cfRule>
  </conditionalFormatting>
  <conditionalFormatting sqref="BF30:BF36">
    <cfRule type="dataBar" priority="250">
      <dataBar>
        <cfvo type="min"/>
        <cfvo type="max"/>
        <color rgb="FF628DC4"/>
      </dataBar>
    </cfRule>
  </conditionalFormatting>
  <conditionalFormatting sqref="BF42:BF49">
    <cfRule type="dataBar" priority="319">
      <dataBar>
        <cfvo type="min"/>
        <cfvo type="max"/>
        <color rgb="FF628DC4"/>
      </dataBar>
    </cfRule>
  </conditionalFormatting>
  <conditionalFormatting sqref="BF55:BF58">
    <cfRule type="dataBar" priority="388">
      <dataBar>
        <cfvo type="min"/>
        <cfvo type="max"/>
        <color rgb="FF628DC4"/>
      </dataBar>
    </cfRule>
  </conditionalFormatting>
  <conditionalFormatting sqref="BF64:BF66">
    <cfRule type="dataBar" priority="457">
      <dataBar>
        <cfvo type="min"/>
        <cfvo type="max"/>
        <color rgb="FF628DC4"/>
      </dataBar>
    </cfRule>
  </conditionalFormatting>
  <conditionalFormatting sqref="BF72:BF78">
    <cfRule type="dataBar" priority="526">
      <dataBar>
        <cfvo type="min"/>
        <cfvo type="max"/>
        <color rgb="FF628DC4"/>
      </dataBar>
    </cfRule>
  </conditionalFormatting>
  <conditionalFormatting sqref="BF84:BF91">
    <cfRule type="dataBar" priority="595">
      <dataBar>
        <cfvo type="min"/>
        <cfvo type="max"/>
        <color rgb="FF628DC4"/>
      </dataBar>
    </cfRule>
  </conditionalFormatting>
  <conditionalFormatting sqref="BF97:BF100">
    <cfRule type="dataBar" priority="664">
      <dataBar>
        <cfvo type="min"/>
        <cfvo type="max"/>
        <color rgb="FF628DC4"/>
      </dataBar>
    </cfRule>
  </conditionalFormatting>
  <conditionalFormatting sqref="BF106:BF108">
    <cfRule type="dataBar" priority="733">
      <dataBar>
        <cfvo type="min"/>
        <cfvo type="max"/>
        <color rgb="FF628DC4"/>
      </dataBar>
    </cfRule>
  </conditionalFormatting>
  <conditionalFormatting sqref="BF114:BF120">
    <cfRule type="dataBar" priority="802">
      <dataBar>
        <cfvo type="min"/>
        <cfvo type="max"/>
        <color rgb="FF628DC4"/>
      </dataBar>
    </cfRule>
  </conditionalFormatting>
  <conditionalFormatting sqref="BF126:BF133">
    <cfRule type="dataBar" priority="871">
      <dataBar>
        <cfvo type="min"/>
        <cfvo type="max"/>
        <color rgb="FF628DC4"/>
      </dataBar>
    </cfRule>
  </conditionalFormatting>
  <conditionalFormatting sqref="BF139:BF142">
    <cfRule type="dataBar" priority="940">
      <dataBar>
        <cfvo type="min"/>
        <cfvo type="max"/>
        <color rgb="FF628DC4"/>
      </dataBar>
    </cfRule>
  </conditionalFormatting>
  <conditionalFormatting sqref="BF148:BF150">
    <cfRule type="dataBar" priority="1009">
      <dataBar>
        <cfvo type="min"/>
        <cfvo type="max"/>
        <color rgb="FF628DC4"/>
      </dataBar>
    </cfRule>
  </conditionalFormatting>
  <conditionalFormatting sqref="BF156:BF162">
    <cfRule type="dataBar" priority="1078">
      <dataBar>
        <cfvo type="min"/>
        <cfvo type="max"/>
        <color rgb="FF628DC4"/>
      </dataBar>
    </cfRule>
  </conditionalFormatting>
  <conditionalFormatting sqref="BF168:BF175">
    <cfRule type="dataBar" priority="1147">
      <dataBar>
        <cfvo type="min"/>
        <cfvo type="max"/>
        <color rgb="FF628DC4"/>
      </dataBar>
    </cfRule>
  </conditionalFormatting>
  <conditionalFormatting sqref="BF181:BF184">
    <cfRule type="dataBar" priority="1216">
      <dataBar>
        <cfvo type="min"/>
        <cfvo type="max"/>
        <color rgb="FF628DC4"/>
      </dataBar>
    </cfRule>
  </conditionalFormatting>
  <conditionalFormatting sqref="BF190:BF192">
    <cfRule type="dataBar" priority="1285">
      <dataBar>
        <cfvo type="min"/>
        <cfvo type="max"/>
        <color rgb="FF628DC4"/>
      </dataBar>
    </cfRule>
  </conditionalFormatting>
  <conditionalFormatting sqref="BF198:BF204">
    <cfRule type="dataBar" priority="1354">
      <dataBar>
        <cfvo type="min"/>
        <cfvo type="max"/>
        <color rgb="FF628DC4"/>
      </dataBar>
    </cfRule>
  </conditionalFormatting>
  <conditionalFormatting sqref="BF210:BF212">
    <cfRule type="dataBar" priority="1423">
      <dataBar>
        <cfvo type="min"/>
        <cfvo type="max"/>
        <color rgb="FF628DC4"/>
      </dataBar>
    </cfRule>
  </conditionalFormatting>
  <conditionalFormatting sqref="BF218:BF226">
    <cfRule type="dataBar" priority="1492">
      <dataBar>
        <cfvo type="min"/>
        <cfvo type="max"/>
        <color rgb="FF628DC4"/>
      </dataBar>
    </cfRule>
  </conditionalFormatting>
  <conditionalFormatting sqref="BF232:BF240">
    <cfRule type="dataBar" priority="1561">
      <dataBar>
        <cfvo type="min"/>
        <cfvo type="max"/>
        <color rgb="FF628DC4"/>
      </dataBar>
    </cfRule>
  </conditionalFormatting>
  <conditionalFormatting sqref="BF246:BF254">
    <cfRule type="dataBar" priority="1630">
      <dataBar>
        <cfvo type="min"/>
        <cfvo type="max"/>
        <color rgb="FF628DC4"/>
      </dataBar>
    </cfRule>
  </conditionalFormatting>
  <conditionalFormatting sqref="BF260:BF268">
    <cfRule type="dataBar" priority="1699">
      <dataBar>
        <cfvo type="min"/>
        <cfvo type="max"/>
        <color rgb="FF628DC4"/>
      </dataBar>
    </cfRule>
  </conditionalFormatting>
  <conditionalFormatting sqref="BF274:BF276">
    <cfRule type="dataBar" priority="1768">
      <dataBar>
        <cfvo type="min"/>
        <cfvo type="max"/>
        <color rgb="FF628DC4"/>
      </dataBar>
    </cfRule>
  </conditionalFormatting>
  <conditionalFormatting sqref="BF282:BF287">
    <cfRule type="dataBar" priority="1837">
      <dataBar>
        <cfvo type="min"/>
        <cfvo type="max"/>
        <color rgb="FF628DC4"/>
      </dataBar>
    </cfRule>
  </conditionalFormatting>
  <conditionalFormatting sqref="BF293:BF300">
    <cfRule type="dataBar" priority="1906">
      <dataBar>
        <cfvo type="min"/>
        <cfvo type="max"/>
        <color rgb="FF628DC4"/>
      </dataBar>
    </cfRule>
  </conditionalFormatting>
  <conditionalFormatting sqref="BF306:BF313">
    <cfRule type="dataBar" priority="1975">
      <dataBar>
        <cfvo type="min"/>
        <cfvo type="max"/>
        <color rgb="FF628DC4"/>
      </dataBar>
    </cfRule>
  </conditionalFormatting>
  <conditionalFormatting sqref="BG6:BG8">
    <cfRule type="dataBar" priority="44">
      <dataBar>
        <cfvo type="min"/>
        <cfvo type="max"/>
        <color rgb="FFFFB628"/>
      </dataBar>
    </cfRule>
  </conditionalFormatting>
  <conditionalFormatting sqref="BG14:BG16">
    <cfRule type="dataBar" priority="113">
      <dataBar>
        <cfvo type="min"/>
        <cfvo type="max"/>
        <color rgb="FFFFB628"/>
      </dataBar>
    </cfRule>
  </conditionalFormatting>
  <conditionalFormatting sqref="BG22:BG24">
    <cfRule type="dataBar" priority="182">
      <dataBar>
        <cfvo type="min"/>
        <cfvo type="max"/>
        <color rgb="FFFFB628"/>
      </dataBar>
    </cfRule>
  </conditionalFormatting>
  <conditionalFormatting sqref="BG30:BG36">
    <cfRule type="dataBar" priority="251">
      <dataBar>
        <cfvo type="min"/>
        <cfvo type="max"/>
        <color rgb="FFFFB628"/>
      </dataBar>
    </cfRule>
  </conditionalFormatting>
  <conditionalFormatting sqref="BG42:BG49">
    <cfRule type="dataBar" priority="320">
      <dataBar>
        <cfvo type="min"/>
        <cfvo type="max"/>
        <color rgb="FFFFB628"/>
      </dataBar>
    </cfRule>
  </conditionalFormatting>
  <conditionalFormatting sqref="BG55:BG58">
    <cfRule type="dataBar" priority="389">
      <dataBar>
        <cfvo type="min"/>
        <cfvo type="max"/>
        <color rgb="FFFFB628"/>
      </dataBar>
    </cfRule>
  </conditionalFormatting>
  <conditionalFormatting sqref="BG64:BG66">
    <cfRule type="dataBar" priority="458">
      <dataBar>
        <cfvo type="min"/>
        <cfvo type="max"/>
        <color rgb="FFFFB628"/>
      </dataBar>
    </cfRule>
  </conditionalFormatting>
  <conditionalFormatting sqref="BG72:BG78">
    <cfRule type="dataBar" priority="527">
      <dataBar>
        <cfvo type="min"/>
        <cfvo type="max"/>
        <color rgb="FFFFB628"/>
      </dataBar>
    </cfRule>
  </conditionalFormatting>
  <conditionalFormatting sqref="BG84:BG91">
    <cfRule type="dataBar" priority="596">
      <dataBar>
        <cfvo type="min"/>
        <cfvo type="max"/>
        <color rgb="FFFFB628"/>
      </dataBar>
    </cfRule>
  </conditionalFormatting>
  <conditionalFormatting sqref="BG97:BG100">
    <cfRule type="dataBar" priority="665">
      <dataBar>
        <cfvo type="min"/>
        <cfvo type="max"/>
        <color rgb="FFFFB628"/>
      </dataBar>
    </cfRule>
  </conditionalFormatting>
  <conditionalFormatting sqref="BG106:BG108">
    <cfRule type="dataBar" priority="734">
      <dataBar>
        <cfvo type="min"/>
        <cfvo type="max"/>
        <color rgb="FFFFB628"/>
      </dataBar>
    </cfRule>
  </conditionalFormatting>
  <conditionalFormatting sqref="BG114:BG120">
    <cfRule type="dataBar" priority="803">
      <dataBar>
        <cfvo type="min"/>
        <cfvo type="max"/>
        <color rgb="FFFFB628"/>
      </dataBar>
    </cfRule>
  </conditionalFormatting>
  <conditionalFormatting sqref="BG126:BG133">
    <cfRule type="dataBar" priority="872">
      <dataBar>
        <cfvo type="min"/>
        <cfvo type="max"/>
        <color rgb="FFFFB628"/>
      </dataBar>
    </cfRule>
  </conditionalFormatting>
  <conditionalFormatting sqref="BG139:BG142">
    <cfRule type="dataBar" priority="941">
      <dataBar>
        <cfvo type="min"/>
        <cfvo type="max"/>
        <color rgb="FFFFB628"/>
      </dataBar>
    </cfRule>
  </conditionalFormatting>
  <conditionalFormatting sqref="BG148:BG150">
    <cfRule type="dataBar" priority="1010">
      <dataBar>
        <cfvo type="min"/>
        <cfvo type="max"/>
        <color rgb="FFFFB628"/>
      </dataBar>
    </cfRule>
  </conditionalFormatting>
  <conditionalFormatting sqref="BG156:BG162">
    <cfRule type="dataBar" priority="1079">
      <dataBar>
        <cfvo type="min"/>
        <cfvo type="max"/>
        <color rgb="FFFFB628"/>
      </dataBar>
    </cfRule>
  </conditionalFormatting>
  <conditionalFormatting sqref="BG168:BG175">
    <cfRule type="dataBar" priority="1148">
      <dataBar>
        <cfvo type="min"/>
        <cfvo type="max"/>
        <color rgb="FFFFB628"/>
      </dataBar>
    </cfRule>
  </conditionalFormatting>
  <conditionalFormatting sqref="BG181:BG184">
    <cfRule type="dataBar" priority="1217">
      <dataBar>
        <cfvo type="min"/>
        <cfvo type="max"/>
        <color rgb="FFFFB628"/>
      </dataBar>
    </cfRule>
  </conditionalFormatting>
  <conditionalFormatting sqref="BG190:BG192">
    <cfRule type="dataBar" priority="1286">
      <dataBar>
        <cfvo type="min"/>
        <cfvo type="max"/>
        <color rgb="FFFFB628"/>
      </dataBar>
    </cfRule>
  </conditionalFormatting>
  <conditionalFormatting sqref="BG198:BG204">
    <cfRule type="dataBar" priority="1355">
      <dataBar>
        <cfvo type="min"/>
        <cfvo type="max"/>
        <color rgb="FFFFB628"/>
      </dataBar>
    </cfRule>
  </conditionalFormatting>
  <conditionalFormatting sqref="BG210:BG212">
    <cfRule type="dataBar" priority="1424">
      <dataBar>
        <cfvo type="min"/>
        <cfvo type="max"/>
        <color rgb="FFFFB628"/>
      </dataBar>
    </cfRule>
  </conditionalFormatting>
  <conditionalFormatting sqref="BG218:BG226">
    <cfRule type="dataBar" priority="1493">
      <dataBar>
        <cfvo type="min"/>
        <cfvo type="max"/>
        <color rgb="FFFFB628"/>
      </dataBar>
    </cfRule>
  </conditionalFormatting>
  <conditionalFormatting sqref="BG232:BG240">
    <cfRule type="dataBar" priority="1562">
      <dataBar>
        <cfvo type="min"/>
        <cfvo type="max"/>
        <color rgb="FFFFB628"/>
      </dataBar>
    </cfRule>
  </conditionalFormatting>
  <conditionalFormatting sqref="BG246:BG254">
    <cfRule type="dataBar" priority="1631">
      <dataBar>
        <cfvo type="min"/>
        <cfvo type="max"/>
        <color rgb="FFFFB628"/>
      </dataBar>
    </cfRule>
  </conditionalFormatting>
  <conditionalFormatting sqref="BG260:BG268">
    <cfRule type="dataBar" priority="1700">
      <dataBar>
        <cfvo type="min"/>
        <cfvo type="max"/>
        <color rgb="FFFFB628"/>
      </dataBar>
    </cfRule>
  </conditionalFormatting>
  <conditionalFormatting sqref="BG274:BG276">
    <cfRule type="dataBar" priority="1769">
      <dataBar>
        <cfvo type="min"/>
        <cfvo type="max"/>
        <color rgb="FFFFB628"/>
      </dataBar>
    </cfRule>
  </conditionalFormatting>
  <conditionalFormatting sqref="BG282:BG287">
    <cfRule type="dataBar" priority="1838">
      <dataBar>
        <cfvo type="min"/>
        <cfvo type="max"/>
        <color rgb="FFFFB628"/>
      </dataBar>
    </cfRule>
  </conditionalFormatting>
  <conditionalFormatting sqref="BG293:BG300">
    <cfRule type="dataBar" priority="1907">
      <dataBar>
        <cfvo type="min"/>
        <cfvo type="max"/>
        <color rgb="FFFFB628"/>
      </dataBar>
    </cfRule>
  </conditionalFormatting>
  <conditionalFormatting sqref="BG306:BG313">
    <cfRule type="dataBar" priority="1976">
      <dataBar>
        <cfvo type="min"/>
        <cfvo type="max"/>
        <color rgb="FFFFB628"/>
      </dataBar>
    </cfRule>
  </conditionalFormatting>
  <conditionalFormatting sqref="BH6:BH8">
    <cfRule type="dataBar" priority="45">
      <dataBar>
        <cfvo type="min"/>
        <cfvo type="max"/>
        <color rgb="FFF08D5B"/>
      </dataBar>
    </cfRule>
  </conditionalFormatting>
  <conditionalFormatting sqref="BH14:BH16">
    <cfRule type="dataBar" priority="114">
      <dataBar>
        <cfvo type="min"/>
        <cfvo type="max"/>
        <color rgb="FFF08D5B"/>
      </dataBar>
    </cfRule>
  </conditionalFormatting>
  <conditionalFormatting sqref="BH22:BH24">
    <cfRule type="dataBar" priority="183">
      <dataBar>
        <cfvo type="min"/>
        <cfvo type="max"/>
        <color rgb="FFF08D5B"/>
      </dataBar>
    </cfRule>
  </conditionalFormatting>
  <conditionalFormatting sqref="BH30:BH36">
    <cfRule type="dataBar" priority="252">
      <dataBar>
        <cfvo type="min"/>
        <cfvo type="max"/>
        <color rgb="FFF08D5B"/>
      </dataBar>
    </cfRule>
  </conditionalFormatting>
  <conditionalFormatting sqref="BH42:BH49">
    <cfRule type="dataBar" priority="321">
      <dataBar>
        <cfvo type="min"/>
        <cfvo type="max"/>
        <color rgb="FFF08D5B"/>
      </dataBar>
    </cfRule>
  </conditionalFormatting>
  <conditionalFormatting sqref="BH55:BH58">
    <cfRule type="dataBar" priority="390">
      <dataBar>
        <cfvo type="min"/>
        <cfvo type="max"/>
        <color rgb="FFF08D5B"/>
      </dataBar>
    </cfRule>
  </conditionalFormatting>
  <conditionalFormatting sqref="BH64:BH66">
    <cfRule type="dataBar" priority="459">
      <dataBar>
        <cfvo type="min"/>
        <cfvo type="max"/>
        <color rgb="FFF08D5B"/>
      </dataBar>
    </cfRule>
  </conditionalFormatting>
  <conditionalFormatting sqref="BH72:BH78">
    <cfRule type="dataBar" priority="528">
      <dataBar>
        <cfvo type="min"/>
        <cfvo type="max"/>
        <color rgb="FFF08D5B"/>
      </dataBar>
    </cfRule>
  </conditionalFormatting>
  <conditionalFormatting sqref="BH84:BH91">
    <cfRule type="dataBar" priority="597">
      <dataBar>
        <cfvo type="min"/>
        <cfvo type="max"/>
        <color rgb="FFF08D5B"/>
      </dataBar>
    </cfRule>
  </conditionalFormatting>
  <conditionalFormatting sqref="BH97:BH100">
    <cfRule type="dataBar" priority="666">
      <dataBar>
        <cfvo type="min"/>
        <cfvo type="max"/>
        <color rgb="FFF08D5B"/>
      </dataBar>
    </cfRule>
  </conditionalFormatting>
  <conditionalFormatting sqref="BH106:BH108">
    <cfRule type="dataBar" priority="735">
      <dataBar>
        <cfvo type="min"/>
        <cfvo type="max"/>
        <color rgb="FFF08D5B"/>
      </dataBar>
    </cfRule>
  </conditionalFormatting>
  <conditionalFormatting sqref="BH114:BH120">
    <cfRule type="dataBar" priority="804">
      <dataBar>
        <cfvo type="min"/>
        <cfvo type="max"/>
        <color rgb="FFF08D5B"/>
      </dataBar>
    </cfRule>
  </conditionalFormatting>
  <conditionalFormatting sqref="BH126:BH133">
    <cfRule type="dataBar" priority="873">
      <dataBar>
        <cfvo type="min"/>
        <cfvo type="max"/>
        <color rgb="FFF08D5B"/>
      </dataBar>
    </cfRule>
  </conditionalFormatting>
  <conditionalFormatting sqref="BH139:BH142">
    <cfRule type="dataBar" priority="942">
      <dataBar>
        <cfvo type="min"/>
        <cfvo type="max"/>
        <color rgb="FFF08D5B"/>
      </dataBar>
    </cfRule>
  </conditionalFormatting>
  <conditionalFormatting sqref="BH148:BH150">
    <cfRule type="dataBar" priority="1011">
      <dataBar>
        <cfvo type="min"/>
        <cfvo type="max"/>
        <color rgb="FFF08D5B"/>
      </dataBar>
    </cfRule>
  </conditionalFormatting>
  <conditionalFormatting sqref="BH156:BH162">
    <cfRule type="dataBar" priority="1080">
      <dataBar>
        <cfvo type="min"/>
        <cfvo type="max"/>
        <color rgb="FFF08D5B"/>
      </dataBar>
    </cfRule>
  </conditionalFormatting>
  <conditionalFormatting sqref="BH168:BH175">
    <cfRule type="dataBar" priority="1149">
      <dataBar>
        <cfvo type="min"/>
        <cfvo type="max"/>
        <color rgb="FFF08D5B"/>
      </dataBar>
    </cfRule>
  </conditionalFormatting>
  <conditionalFormatting sqref="BH181:BH184">
    <cfRule type="dataBar" priority="1218">
      <dataBar>
        <cfvo type="min"/>
        <cfvo type="max"/>
        <color rgb="FFF08D5B"/>
      </dataBar>
    </cfRule>
  </conditionalFormatting>
  <conditionalFormatting sqref="BH190:BH192">
    <cfRule type="dataBar" priority="1287">
      <dataBar>
        <cfvo type="min"/>
        <cfvo type="max"/>
        <color rgb="FFF08D5B"/>
      </dataBar>
    </cfRule>
  </conditionalFormatting>
  <conditionalFormatting sqref="BH198:BH204">
    <cfRule type="dataBar" priority="1356">
      <dataBar>
        <cfvo type="min"/>
        <cfvo type="max"/>
        <color rgb="FFF08D5B"/>
      </dataBar>
    </cfRule>
  </conditionalFormatting>
  <conditionalFormatting sqref="BH210:BH212">
    <cfRule type="dataBar" priority="1425">
      <dataBar>
        <cfvo type="min"/>
        <cfvo type="max"/>
        <color rgb="FFF08D5B"/>
      </dataBar>
    </cfRule>
  </conditionalFormatting>
  <conditionalFormatting sqref="BH218:BH226">
    <cfRule type="dataBar" priority="1494">
      <dataBar>
        <cfvo type="min"/>
        <cfvo type="max"/>
        <color rgb="FFF08D5B"/>
      </dataBar>
    </cfRule>
  </conditionalFormatting>
  <conditionalFormatting sqref="BH232:BH240">
    <cfRule type="dataBar" priority="1563">
      <dataBar>
        <cfvo type="min"/>
        <cfvo type="max"/>
        <color rgb="FFF08D5B"/>
      </dataBar>
    </cfRule>
  </conditionalFormatting>
  <conditionalFormatting sqref="BH246:BH254">
    <cfRule type="dataBar" priority="1632">
      <dataBar>
        <cfvo type="min"/>
        <cfvo type="max"/>
        <color rgb="FFF08D5B"/>
      </dataBar>
    </cfRule>
  </conditionalFormatting>
  <conditionalFormatting sqref="BH260:BH268">
    <cfRule type="dataBar" priority="1701">
      <dataBar>
        <cfvo type="min"/>
        <cfvo type="max"/>
        <color rgb="FFF08D5B"/>
      </dataBar>
    </cfRule>
  </conditionalFormatting>
  <conditionalFormatting sqref="BH274:BH276">
    <cfRule type="dataBar" priority="1770">
      <dataBar>
        <cfvo type="min"/>
        <cfvo type="max"/>
        <color rgb="FFF08D5B"/>
      </dataBar>
    </cfRule>
  </conditionalFormatting>
  <conditionalFormatting sqref="BH282:BH287">
    <cfRule type="dataBar" priority="1839">
      <dataBar>
        <cfvo type="min"/>
        <cfvo type="max"/>
        <color rgb="FFF08D5B"/>
      </dataBar>
    </cfRule>
  </conditionalFormatting>
  <conditionalFormatting sqref="BH293:BH300">
    <cfRule type="dataBar" priority="1908">
      <dataBar>
        <cfvo type="min"/>
        <cfvo type="max"/>
        <color rgb="FFF08D5B"/>
      </dataBar>
    </cfRule>
  </conditionalFormatting>
  <conditionalFormatting sqref="BH306:BH313">
    <cfRule type="dataBar" priority="1977">
      <dataBar>
        <cfvo type="min"/>
        <cfvo type="max"/>
        <color rgb="FFF08D5B"/>
      </dataBar>
    </cfRule>
  </conditionalFormatting>
  <conditionalFormatting sqref="BJ6:BJ8">
    <cfRule type="dataBar" priority="46">
      <dataBar>
        <cfvo type="min"/>
        <cfvo type="max"/>
        <color rgb="FF628DC4"/>
      </dataBar>
    </cfRule>
  </conditionalFormatting>
  <conditionalFormatting sqref="BJ14:BJ16">
    <cfRule type="dataBar" priority="115">
      <dataBar>
        <cfvo type="min"/>
        <cfvo type="max"/>
        <color rgb="FF628DC4"/>
      </dataBar>
    </cfRule>
  </conditionalFormatting>
  <conditionalFormatting sqref="BJ22:BJ24">
    <cfRule type="dataBar" priority="184">
      <dataBar>
        <cfvo type="min"/>
        <cfvo type="max"/>
        <color rgb="FF628DC4"/>
      </dataBar>
    </cfRule>
  </conditionalFormatting>
  <conditionalFormatting sqref="BJ30:BJ36">
    <cfRule type="dataBar" priority="253">
      <dataBar>
        <cfvo type="min"/>
        <cfvo type="max"/>
        <color rgb="FF628DC4"/>
      </dataBar>
    </cfRule>
  </conditionalFormatting>
  <conditionalFormatting sqref="BJ42:BJ49">
    <cfRule type="dataBar" priority="322">
      <dataBar>
        <cfvo type="min"/>
        <cfvo type="max"/>
        <color rgb="FF628DC4"/>
      </dataBar>
    </cfRule>
  </conditionalFormatting>
  <conditionalFormatting sqref="BJ55:BJ58">
    <cfRule type="dataBar" priority="391">
      <dataBar>
        <cfvo type="min"/>
        <cfvo type="max"/>
        <color rgb="FF628DC4"/>
      </dataBar>
    </cfRule>
  </conditionalFormatting>
  <conditionalFormatting sqref="BJ64:BJ66">
    <cfRule type="dataBar" priority="460">
      <dataBar>
        <cfvo type="min"/>
        <cfvo type="max"/>
        <color rgb="FF628DC4"/>
      </dataBar>
    </cfRule>
  </conditionalFormatting>
  <conditionalFormatting sqref="BJ72:BJ78">
    <cfRule type="dataBar" priority="529">
      <dataBar>
        <cfvo type="min"/>
        <cfvo type="max"/>
        <color rgb="FF628DC4"/>
      </dataBar>
    </cfRule>
  </conditionalFormatting>
  <conditionalFormatting sqref="BJ84:BJ91">
    <cfRule type="dataBar" priority="598">
      <dataBar>
        <cfvo type="min"/>
        <cfvo type="max"/>
        <color rgb="FF628DC4"/>
      </dataBar>
    </cfRule>
  </conditionalFormatting>
  <conditionalFormatting sqref="BJ97:BJ100">
    <cfRule type="dataBar" priority="667">
      <dataBar>
        <cfvo type="min"/>
        <cfvo type="max"/>
        <color rgb="FF628DC4"/>
      </dataBar>
    </cfRule>
  </conditionalFormatting>
  <conditionalFormatting sqref="BJ106:BJ108">
    <cfRule type="dataBar" priority="736">
      <dataBar>
        <cfvo type="min"/>
        <cfvo type="max"/>
        <color rgb="FF628DC4"/>
      </dataBar>
    </cfRule>
  </conditionalFormatting>
  <conditionalFormatting sqref="BJ114:BJ120">
    <cfRule type="dataBar" priority="805">
      <dataBar>
        <cfvo type="min"/>
        <cfvo type="max"/>
        <color rgb="FF628DC4"/>
      </dataBar>
    </cfRule>
  </conditionalFormatting>
  <conditionalFormatting sqref="BJ126:BJ133">
    <cfRule type="dataBar" priority="874">
      <dataBar>
        <cfvo type="min"/>
        <cfvo type="max"/>
        <color rgb="FF628DC4"/>
      </dataBar>
    </cfRule>
  </conditionalFormatting>
  <conditionalFormatting sqref="BJ139:BJ142">
    <cfRule type="dataBar" priority="943">
      <dataBar>
        <cfvo type="min"/>
        <cfvo type="max"/>
        <color rgb="FF628DC4"/>
      </dataBar>
    </cfRule>
  </conditionalFormatting>
  <conditionalFormatting sqref="BJ148:BJ150">
    <cfRule type="dataBar" priority="1012">
      <dataBar>
        <cfvo type="min"/>
        <cfvo type="max"/>
        <color rgb="FF628DC4"/>
      </dataBar>
    </cfRule>
  </conditionalFormatting>
  <conditionalFormatting sqref="BJ156:BJ162">
    <cfRule type="dataBar" priority="1081">
      <dataBar>
        <cfvo type="min"/>
        <cfvo type="max"/>
        <color rgb="FF628DC4"/>
      </dataBar>
    </cfRule>
  </conditionalFormatting>
  <conditionalFormatting sqref="BJ168:BJ175">
    <cfRule type="dataBar" priority="1150">
      <dataBar>
        <cfvo type="min"/>
        <cfvo type="max"/>
        <color rgb="FF628DC4"/>
      </dataBar>
    </cfRule>
  </conditionalFormatting>
  <conditionalFormatting sqref="BJ181:BJ184">
    <cfRule type="dataBar" priority="1219">
      <dataBar>
        <cfvo type="min"/>
        <cfvo type="max"/>
        <color rgb="FF628DC4"/>
      </dataBar>
    </cfRule>
  </conditionalFormatting>
  <conditionalFormatting sqref="BJ190:BJ192">
    <cfRule type="dataBar" priority="1288">
      <dataBar>
        <cfvo type="min"/>
        <cfvo type="max"/>
        <color rgb="FF628DC4"/>
      </dataBar>
    </cfRule>
  </conditionalFormatting>
  <conditionalFormatting sqref="BJ198:BJ204">
    <cfRule type="dataBar" priority="1357">
      <dataBar>
        <cfvo type="min"/>
        <cfvo type="max"/>
        <color rgb="FF628DC4"/>
      </dataBar>
    </cfRule>
  </conditionalFormatting>
  <conditionalFormatting sqref="BJ210:BJ212">
    <cfRule type="dataBar" priority="1426">
      <dataBar>
        <cfvo type="min"/>
        <cfvo type="max"/>
        <color rgb="FF628DC4"/>
      </dataBar>
    </cfRule>
  </conditionalFormatting>
  <conditionalFormatting sqref="BJ218:BJ226">
    <cfRule type="dataBar" priority="1495">
      <dataBar>
        <cfvo type="min"/>
        <cfvo type="max"/>
        <color rgb="FF628DC4"/>
      </dataBar>
    </cfRule>
  </conditionalFormatting>
  <conditionalFormatting sqref="BJ232:BJ240">
    <cfRule type="dataBar" priority="1564">
      <dataBar>
        <cfvo type="min"/>
        <cfvo type="max"/>
        <color rgb="FF628DC4"/>
      </dataBar>
    </cfRule>
  </conditionalFormatting>
  <conditionalFormatting sqref="BJ246:BJ254">
    <cfRule type="dataBar" priority="1633">
      <dataBar>
        <cfvo type="min"/>
        <cfvo type="max"/>
        <color rgb="FF628DC4"/>
      </dataBar>
    </cfRule>
  </conditionalFormatting>
  <conditionalFormatting sqref="BJ260:BJ268">
    <cfRule type="dataBar" priority="1702">
      <dataBar>
        <cfvo type="min"/>
        <cfvo type="max"/>
        <color rgb="FF628DC4"/>
      </dataBar>
    </cfRule>
  </conditionalFormatting>
  <conditionalFormatting sqref="BJ274:BJ276">
    <cfRule type="dataBar" priority="1771">
      <dataBar>
        <cfvo type="min"/>
        <cfvo type="max"/>
        <color rgb="FF628DC4"/>
      </dataBar>
    </cfRule>
  </conditionalFormatting>
  <conditionalFormatting sqref="BJ282:BJ287">
    <cfRule type="dataBar" priority="1840">
      <dataBar>
        <cfvo type="min"/>
        <cfvo type="max"/>
        <color rgb="FF628DC4"/>
      </dataBar>
    </cfRule>
  </conditionalFormatting>
  <conditionalFormatting sqref="BJ293:BJ300">
    <cfRule type="dataBar" priority="1909">
      <dataBar>
        <cfvo type="min"/>
        <cfvo type="max"/>
        <color rgb="FF628DC4"/>
      </dataBar>
    </cfRule>
  </conditionalFormatting>
  <conditionalFormatting sqref="BJ306:BJ313">
    <cfRule type="dataBar" priority="1978">
      <dataBar>
        <cfvo type="min"/>
        <cfvo type="max"/>
        <color rgb="FF628DC4"/>
      </dataBar>
    </cfRule>
  </conditionalFormatting>
  <conditionalFormatting sqref="BK6:BK8">
    <cfRule type="dataBar" priority="47">
      <dataBar>
        <cfvo type="min"/>
        <cfvo type="max"/>
        <color rgb="FFFFB628"/>
      </dataBar>
    </cfRule>
  </conditionalFormatting>
  <conditionalFormatting sqref="BK14:BK16">
    <cfRule type="dataBar" priority="116">
      <dataBar>
        <cfvo type="min"/>
        <cfvo type="max"/>
        <color rgb="FFFFB628"/>
      </dataBar>
    </cfRule>
  </conditionalFormatting>
  <conditionalFormatting sqref="BK22:BK24">
    <cfRule type="dataBar" priority="185">
      <dataBar>
        <cfvo type="min"/>
        <cfvo type="max"/>
        <color rgb="FFFFB628"/>
      </dataBar>
    </cfRule>
  </conditionalFormatting>
  <conditionalFormatting sqref="BK30:BK36">
    <cfRule type="dataBar" priority="254">
      <dataBar>
        <cfvo type="min"/>
        <cfvo type="max"/>
        <color rgb="FFFFB628"/>
      </dataBar>
    </cfRule>
  </conditionalFormatting>
  <conditionalFormatting sqref="BK42:BK49">
    <cfRule type="dataBar" priority="323">
      <dataBar>
        <cfvo type="min"/>
        <cfvo type="max"/>
        <color rgb="FFFFB628"/>
      </dataBar>
    </cfRule>
  </conditionalFormatting>
  <conditionalFormatting sqref="BK55:BK58">
    <cfRule type="dataBar" priority="392">
      <dataBar>
        <cfvo type="min"/>
        <cfvo type="max"/>
        <color rgb="FFFFB628"/>
      </dataBar>
    </cfRule>
  </conditionalFormatting>
  <conditionalFormatting sqref="BK64:BK66">
    <cfRule type="dataBar" priority="461">
      <dataBar>
        <cfvo type="min"/>
        <cfvo type="max"/>
        <color rgb="FFFFB628"/>
      </dataBar>
    </cfRule>
  </conditionalFormatting>
  <conditionalFormatting sqref="BK72:BK78">
    <cfRule type="dataBar" priority="530">
      <dataBar>
        <cfvo type="min"/>
        <cfvo type="max"/>
        <color rgb="FFFFB628"/>
      </dataBar>
    </cfRule>
  </conditionalFormatting>
  <conditionalFormatting sqref="BK84:BK91">
    <cfRule type="dataBar" priority="599">
      <dataBar>
        <cfvo type="min"/>
        <cfvo type="max"/>
        <color rgb="FFFFB628"/>
      </dataBar>
    </cfRule>
  </conditionalFormatting>
  <conditionalFormatting sqref="BK97:BK100">
    <cfRule type="dataBar" priority="668">
      <dataBar>
        <cfvo type="min"/>
        <cfvo type="max"/>
        <color rgb="FFFFB628"/>
      </dataBar>
    </cfRule>
  </conditionalFormatting>
  <conditionalFormatting sqref="BK106:BK108">
    <cfRule type="dataBar" priority="737">
      <dataBar>
        <cfvo type="min"/>
        <cfvo type="max"/>
        <color rgb="FFFFB628"/>
      </dataBar>
    </cfRule>
  </conditionalFormatting>
  <conditionalFormatting sqref="BK114:BK120">
    <cfRule type="dataBar" priority="806">
      <dataBar>
        <cfvo type="min"/>
        <cfvo type="max"/>
        <color rgb="FFFFB628"/>
      </dataBar>
    </cfRule>
  </conditionalFormatting>
  <conditionalFormatting sqref="BK126:BK133">
    <cfRule type="dataBar" priority="875">
      <dataBar>
        <cfvo type="min"/>
        <cfvo type="max"/>
        <color rgb="FFFFB628"/>
      </dataBar>
    </cfRule>
  </conditionalFormatting>
  <conditionalFormatting sqref="BK139:BK142">
    <cfRule type="dataBar" priority="944">
      <dataBar>
        <cfvo type="min"/>
        <cfvo type="max"/>
        <color rgb="FFFFB628"/>
      </dataBar>
    </cfRule>
  </conditionalFormatting>
  <conditionalFormatting sqref="BK148:BK150">
    <cfRule type="dataBar" priority="1013">
      <dataBar>
        <cfvo type="min"/>
        <cfvo type="max"/>
        <color rgb="FFFFB628"/>
      </dataBar>
    </cfRule>
  </conditionalFormatting>
  <conditionalFormatting sqref="BK156:BK162">
    <cfRule type="dataBar" priority="1082">
      <dataBar>
        <cfvo type="min"/>
        <cfvo type="max"/>
        <color rgb="FFFFB628"/>
      </dataBar>
    </cfRule>
  </conditionalFormatting>
  <conditionalFormatting sqref="BK168:BK175">
    <cfRule type="dataBar" priority="1151">
      <dataBar>
        <cfvo type="min"/>
        <cfvo type="max"/>
        <color rgb="FFFFB628"/>
      </dataBar>
    </cfRule>
  </conditionalFormatting>
  <conditionalFormatting sqref="BK181:BK184">
    <cfRule type="dataBar" priority="1220">
      <dataBar>
        <cfvo type="min"/>
        <cfvo type="max"/>
        <color rgb="FFFFB628"/>
      </dataBar>
    </cfRule>
  </conditionalFormatting>
  <conditionalFormatting sqref="BK190:BK192">
    <cfRule type="dataBar" priority="1289">
      <dataBar>
        <cfvo type="min"/>
        <cfvo type="max"/>
        <color rgb="FFFFB628"/>
      </dataBar>
    </cfRule>
  </conditionalFormatting>
  <conditionalFormatting sqref="BK198:BK204">
    <cfRule type="dataBar" priority="1358">
      <dataBar>
        <cfvo type="min"/>
        <cfvo type="max"/>
        <color rgb="FFFFB628"/>
      </dataBar>
    </cfRule>
  </conditionalFormatting>
  <conditionalFormatting sqref="BK210:BK212">
    <cfRule type="dataBar" priority="1427">
      <dataBar>
        <cfvo type="min"/>
        <cfvo type="max"/>
        <color rgb="FFFFB628"/>
      </dataBar>
    </cfRule>
  </conditionalFormatting>
  <conditionalFormatting sqref="BK218:BK226">
    <cfRule type="dataBar" priority="1496">
      <dataBar>
        <cfvo type="min"/>
        <cfvo type="max"/>
        <color rgb="FFFFB628"/>
      </dataBar>
    </cfRule>
  </conditionalFormatting>
  <conditionalFormatting sqref="BK232:BK240">
    <cfRule type="dataBar" priority="1565">
      <dataBar>
        <cfvo type="min"/>
        <cfvo type="max"/>
        <color rgb="FFFFB628"/>
      </dataBar>
    </cfRule>
  </conditionalFormatting>
  <conditionalFormatting sqref="BK246:BK254">
    <cfRule type="dataBar" priority="1634">
      <dataBar>
        <cfvo type="min"/>
        <cfvo type="max"/>
        <color rgb="FFFFB628"/>
      </dataBar>
    </cfRule>
  </conditionalFormatting>
  <conditionalFormatting sqref="BK260:BK268">
    <cfRule type="dataBar" priority="1703">
      <dataBar>
        <cfvo type="min"/>
        <cfvo type="max"/>
        <color rgb="FFFFB628"/>
      </dataBar>
    </cfRule>
  </conditionalFormatting>
  <conditionalFormatting sqref="BK274:BK276">
    <cfRule type="dataBar" priority="1772">
      <dataBar>
        <cfvo type="min"/>
        <cfvo type="max"/>
        <color rgb="FFFFB628"/>
      </dataBar>
    </cfRule>
  </conditionalFormatting>
  <conditionalFormatting sqref="BK282:BK287">
    <cfRule type="dataBar" priority="1841">
      <dataBar>
        <cfvo type="min"/>
        <cfvo type="max"/>
        <color rgb="FFFFB628"/>
      </dataBar>
    </cfRule>
  </conditionalFormatting>
  <conditionalFormatting sqref="BK293:BK300">
    <cfRule type="dataBar" priority="1910">
      <dataBar>
        <cfvo type="min"/>
        <cfvo type="max"/>
        <color rgb="FFFFB628"/>
      </dataBar>
    </cfRule>
  </conditionalFormatting>
  <conditionalFormatting sqref="BK306:BK313">
    <cfRule type="dataBar" priority="1979">
      <dataBar>
        <cfvo type="min"/>
        <cfvo type="max"/>
        <color rgb="FFFFB628"/>
      </dataBar>
    </cfRule>
  </conditionalFormatting>
  <conditionalFormatting sqref="BL6:BL8">
    <cfRule type="dataBar" priority="48">
      <dataBar>
        <cfvo type="min"/>
        <cfvo type="max"/>
        <color rgb="FFF08D5B"/>
      </dataBar>
    </cfRule>
  </conditionalFormatting>
  <conditionalFormatting sqref="BL14:BL16">
    <cfRule type="dataBar" priority="117">
      <dataBar>
        <cfvo type="min"/>
        <cfvo type="max"/>
        <color rgb="FFF08D5B"/>
      </dataBar>
    </cfRule>
  </conditionalFormatting>
  <conditionalFormatting sqref="BL22:BL24">
    <cfRule type="dataBar" priority="186">
      <dataBar>
        <cfvo type="min"/>
        <cfvo type="max"/>
        <color rgb="FFF08D5B"/>
      </dataBar>
    </cfRule>
  </conditionalFormatting>
  <conditionalFormatting sqref="BL30:BL36">
    <cfRule type="dataBar" priority="255">
      <dataBar>
        <cfvo type="min"/>
        <cfvo type="max"/>
        <color rgb="FFF08D5B"/>
      </dataBar>
    </cfRule>
  </conditionalFormatting>
  <conditionalFormatting sqref="BL42:BL49">
    <cfRule type="dataBar" priority="324">
      <dataBar>
        <cfvo type="min"/>
        <cfvo type="max"/>
        <color rgb="FFF08D5B"/>
      </dataBar>
    </cfRule>
  </conditionalFormatting>
  <conditionalFormatting sqref="BL55:BL58">
    <cfRule type="dataBar" priority="393">
      <dataBar>
        <cfvo type="min"/>
        <cfvo type="max"/>
        <color rgb="FFF08D5B"/>
      </dataBar>
    </cfRule>
  </conditionalFormatting>
  <conditionalFormatting sqref="BL64:BL66">
    <cfRule type="dataBar" priority="462">
      <dataBar>
        <cfvo type="min"/>
        <cfvo type="max"/>
        <color rgb="FFF08D5B"/>
      </dataBar>
    </cfRule>
  </conditionalFormatting>
  <conditionalFormatting sqref="BL72:BL78">
    <cfRule type="dataBar" priority="531">
      <dataBar>
        <cfvo type="min"/>
        <cfvo type="max"/>
        <color rgb="FFF08D5B"/>
      </dataBar>
    </cfRule>
  </conditionalFormatting>
  <conditionalFormatting sqref="BL84:BL91">
    <cfRule type="dataBar" priority="600">
      <dataBar>
        <cfvo type="min"/>
        <cfvo type="max"/>
        <color rgb="FFF08D5B"/>
      </dataBar>
    </cfRule>
  </conditionalFormatting>
  <conditionalFormatting sqref="BL97:BL100">
    <cfRule type="dataBar" priority="669">
      <dataBar>
        <cfvo type="min"/>
        <cfvo type="max"/>
        <color rgb="FFF08D5B"/>
      </dataBar>
    </cfRule>
  </conditionalFormatting>
  <conditionalFormatting sqref="BL106:BL108">
    <cfRule type="dataBar" priority="738">
      <dataBar>
        <cfvo type="min"/>
        <cfvo type="max"/>
        <color rgb="FFF08D5B"/>
      </dataBar>
    </cfRule>
  </conditionalFormatting>
  <conditionalFormatting sqref="BL114:BL120">
    <cfRule type="dataBar" priority="807">
      <dataBar>
        <cfvo type="min"/>
        <cfvo type="max"/>
        <color rgb="FFF08D5B"/>
      </dataBar>
    </cfRule>
  </conditionalFormatting>
  <conditionalFormatting sqref="BL126:BL133">
    <cfRule type="dataBar" priority="876">
      <dataBar>
        <cfvo type="min"/>
        <cfvo type="max"/>
        <color rgb="FFF08D5B"/>
      </dataBar>
    </cfRule>
  </conditionalFormatting>
  <conditionalFormatting sqref="BL139:BL142">
    <cfRule type="dataBar" priority="945">
      <dataBar>
        <cfvo type="min"/>
        <cfvo type="max"/>
        <color rgb="FFF08D5B"/>
      </dataBar>
    </cfRule>
  </conditionalFormatting>
  <conditionalFormatting sqref="BL148:BL150">
    <cfRule type="dataBar" priority="1014">
      <dataBar>
        <cfvo type="min"/>
        <cfvo type="max"/>
        <color rgb="FFF08D5B"/>
      </dataBar>
    </cfRule>
  </conditionalFormatting>
  <conditionalFormatting sqref="BL156:BL162">
    <cfRule type="dataBar" priority="1083">
      <dataBar>
        <cfvo type="min"/>
        <cfvo type="max"/>
        <color rgb="FFF08D5B"/>
      </dataBar>
    </cfRule>
  </conditionalFormatting>
  <conditionalFormatting sqref="BL168:BL175">
    <cfRule type="dataBar" priority="1152">
      <dataBar>
        <cfvo type="min"/>
        <cfvo type="max"/>
        <color rgb="FFF08D5B"/>
      </dataBar>
    </cfRule>
  </conditionalFormatting>
  <conditionalFormatting sqref="BL181:BL184">
    <cfRule type="dataBar" priority="1221">
      <dataBar>
        <cfvo type="min"/>
        <cfvo type="max"/>
        <color rgb="FFF08D5B"/>
      </dataBar>
    </cfRule>
  </conditionalFormatting>
  <conditionalFormatting sqref="BL190:BL192">
    <cfRule type="dataBar" priority="1290">
      <dataBar>
        <cfvo type="min"/>
        <cfvo type="max"/>
        <color rgb="FFF08D5B"/>
      </dataBar>
    </cfRule>
  </conditionalFormatting>
  <conditionalFormatting sqref="BL198:BL204">
    <cfRule type="dataBar" priority="1359">
      <dataBar>
        <cfvo type="min"/>
        <cfvo type="max"/>
        <color rgb="FFF08D5B"/>
      </dataBar>
    </cfRule>
  </conditionalFormatting>
  <conditionalFormatting sqref="BL210:BL212">
    <cfRule type="dataBar" priority="1428">
      <dataBar>
        <cfvo type="min"/>
        <cfvo type="max"/>
        <color rgb="FFF08D5B"/>
      </dataBar>
    </cfRule>
  </conditionalFormatting>
  <conditionalFormatting sqref="BL218:BL226">
    <cfRule type="dataBar" priority="1497">
      <dataBar>
        <cfvo type="min"/>
        <cfvo type="max"/>
        <color rgb="FFF08D5B"/>
      </dataBar>
    </cfRule>
  </conditionalFormatting>
  <conditionalFormatting sqref="BL232:BL240">
    <cfRule type="dataBar" priority="1566">
      <dataBar>
        <cfvo type="min"/>
        <cfvo type="max"/>
        <color rgb="FFF08D5B"/>
      </dataBar>
    </cfRule>
  </conditionalFormatting>
  <conditionalFormatting sqref="BL246:BL254">
    <cfRule type="dataBar" priority="1635">
      <dataBar>
        <cfvo type="min"/>
        <cfvo type="max"/>
        <color rgb="FFF08D5B"/>
      </dataBar>
    </cfRule>
  </conditionalFormatting>
  <conditionalFormatting sqref="BL260:BL268">
    <cfRule type="dataBar" priority="1704">
      <dataBar>
        <cfvo type="min"/>
        <cfvo type="max"/>
        <color rgb="FFF08D5B"/>
      </dataBar>
    </cfRule>
  </conditionalFormatting>
  <conditionalFormatting sqref="BL274:BL276">
    <cfRule type="dataBar" priority="1773">
      <dataBar>
        <cfvo type="min"/>
        <cfvo type="max"/>
        <color rgb="FFF08D5B"/>
      </dataBar>
    </cfRule>
  </conditionalFormatting>
  <conditionalFormatting sqref="BL282:BL287">
    <cfRule type="dataBar" priority="1842">
      <dataBar>
        <cfvo type="min"/>
        <cfvo type="max"/>
        <color rgb="FFF08D5B"/>
      </dataBar>
    </cfRule>
  </conditionalFormatting>
  <conditionalFormatting sqref="BL293:BL300">
    <cfRule type="dataBar" priority="1911">
      <dataBar>
        <cfvo type="min"/>
        <cfvo type="max"/>
        <color rgb="FFF08D5B"/>
      </dataBar>
    </cfRule>
  </conditionalFormatting>
  <conditionalFormatting sqref="BL306:BL313">
    <cfRule type="dataBar" priority="1980">
      <dataBar>
        <cfvo type="min"/>
        <cfvo type="max"/>
        <color rgb="FFF08D5B"/>
      </dataBar>
    </cfRule>
  </conditionalFormatting>
  <conditionalFormatting sqref="BN6:BN8">
    <cfRule type="dataBar" priority="49">
      <dataBar>
        <cfvo type="min"/>
        <cfvo type="max"/>
        <color rgb="FF628DC4"/>
      </dataBar>
    </cfRule>
  </conditionalFormatting>
  <conditionalFormatting sqref="BN14:BN16">
    <cfRule type="dataBar" priority="118">
      <dataBar>
        <cfvo type="min"/>
        <cfvo type="max"/>
        <color rgb="FF628DC4"/>
      </dataBar>
    </cfRule>
  </conditionalFormatting>
  <conditionalFormatting sqref="BN22:BN24">
    <cfRule type="dataBar" priority="187">
      <dataBar>
        <cfvo type="min"/>
        <cfvo type="max"/>
        <color rgb="FF628DC4"/>
      </dataBar>
    </cfRule>
  </conditionalFormatting>
  <conditionalFormatting sqref="BN30:BN36">
    <cfRule type="dataBar" priority="256">
      <dataBar>
        <cfvo type="min"/>
        <cfvo type="max"/>
        <color rgb="FF628DC4"/>
      </dataBar>
    </cfRule>
  </conditionalFormatting>
  <conditionalFormatting sqref="BN42:BN49">
    <cfRule type="dataBar" priority="325">
      <dataBar>
        <cfvo type="min"/>
        <cfvo type="max"/>
        <color rgb="FF628DC4"/>
      </dataBar>
    </cfRule>
  </conditionalFormatting>
  <conditionalFormatting sqref="BN55:BN58">
    <cfRule type="dataBar" priority="394">
      <dataBar>
        <cfvo type="min"/>
        <cfvo type="max"/>
        <color rgb="FF628DC4"/>
      </dataBar>
    </cfRule>
  </conditionalFormatting>
  <conditionalFormatting sqref="BN64:BN66">
    <cfRule type="dataBar" priority="463">
      <dataBar>
        <cfvo type="min"/>
        <cfvo type="max"/>
        <color rgb="FF628DC4"/>
      </dataBar>
    </cfRule>
  </conditionalFormatting>
  <conditionalFormatting sqref="BN72:BN78">
    <cfRule type="dataBar" priority="532">
      <dataBar>
        <cfvo type="min"/>
        <cfvo type="max"/>
        <color rgb="FF628DC4"/>
      </dataBar>
    </cfRule>
  </conditionalFormatting>
  <conditionalFormatting sqref="BN84:BN91">
    <cfRule type="dataBar" priority="601">
      <dataBar>
        <cfvo type="min"/>
        <cfvo type="max"/>
        <color rgb="FF628DC4"/>
      </dataBar>
    </cfRule>
  </conditionalFormatting>
  <conditionalFormatting sqref="BN97:BN100">
    <cfRule type="dataBar" priority="670">
      <dataBar>
        <cfvo type="min"/>
        <cfvo type="max"/>
        <color rgb="FF628DC4"/>
      </dataBar>
    </cfRule>
  </conditionalFormatting>
  <conditionalFormatting sqref="BN106:BN108">
    <cfRule type="dataBar" priority="739">
      <dataBar>
        <cfvo type="min"/>
        <cfvo type="max"/>
        <color rgb="FF628DC4"/>
      </dataBar>
    </cfRule>
  </conditionalFormatting>
  <conditionalFormatting sqref="BN114:BN120">
    <cfRule type="dataBar" priority="808">
      <dataBar>
        <cfvo type="min"/>
        <cfvo type="max"/>
        <color rgb="FF628DC4"/>
      </dataBar>
    </cfRule>
  </conditionalFormatting>
  <conditionalFormatting sqref="BN126:BN133">
    <cfRule type="dataBar" priority="877">
      <dataBar>
        <cfvo type="min"/>
        <cfvo type="max"/>
        <color rgb="FF628DC4"/>
      </dataBar>
    </cfRule>
  </conditionalFormatting>
  <conditionalFormatting sqref="BN139:BN142">
    <cfRule type="dataBar" priority="946">
      <dataBar>
        <cfvo type="min"/>
        <cfvo type="max"/>
        <color rgb="FF628DC4"/>
      </dataBar>
    </cfRule>
  </conditionalFormatting>
  <conditionalFormatting sqref="BN148:BN150">
    <cfRule type="dataBar" priority="1015">
      <dataBar>
        <cfvo type="min"/>
        <cfvo type="max"/>
        <color rgb="FF628DC4"/>
      </dataBar>
    </cfRule>
  </conditionalFormatting>
  <conditionalFormatting sqref="BN156:BN162">
    <cfRule type="dataBar" priority="1084">
      <dataBar>
        <cfvo type="min"/>
        <cfvo type="max"/>
        <color rgb="FF628DC4"/>
      </dataBar>
    </cfRule>
  </conditionalFormatting>
  <conditionalFormatting sqref="BN168:BN175">
    <cfRule type="dataBar" priority="1153">
      <dataBar>
        <cfvo type="min"/>
        <cfvo type="max"/>
        <color rgb="FF628DC4"/>
      </dataBar>
    </cfRule>
  </conditionalFormatting>
  <conditionalFormatting sqref="BN181:BN184">
    <cfRule type="dataBar" priority="1222">
      <dataBar>
        <cfvo type="min"/>
        <cfvo type="max"/>
        <color rgb="FF628DC4"/>
      </dataBar>
    </cfRule>
  </conditionalFormatting>
  <conditionalFormatting sqref="BN190:BN192">
    <cfRule type="dataBar" priority="1291">
      <dataBar>
        <cfvo type="min"/>
        <cfvo type="max"/>
        <color rgb="FF628DC4"/>
      </dataBar>
    </cfRule>
  </conditionalFormatting>
  <conditionalFormatting sqref="BN198:BN204">
    <cfRule type="dataBar" priority="1360">
      <dataBar>
        <cfvo type="min"/>
        <cfvo type="max"/>
        <color rgb="FF628DC4"/>
      </dataBar>
    </cfRule>
  </conditionalFormatting>
  <conditionalFormatting sqref="BN210:BN212">
    <cfRule type="dataBar" priority="1429">
      <dataBar>
        <cfvo type="min"/>
        <cfvo type="max"/>
        <color rgb="FF628DC4"/>
      </dataBar>
    </cfRule>
  </conditionalFormatting>
  <conditionalFormatting sqref="BN218:BN226">
    <cfRule type="dataBar" priority="1498">
      <dataBar>
        <cfvo type="min"/>
        <cfvo type="max"/>
        <color rgb="FF628DC4"/>
      </dataBar>
    </cfRule>
  </conditionalFormatting>
  <conditionalFormatting sqref="BN232:BN240">
    <cfRule type="dataBar" priority="1567">
      <dataBar>
        <cfvo type="min"/>
        <cfvo type="max"/>
        <color rgb="FF628DC4"/>
      </dataBar>
    </cfRule>
  </conditionalFormatting>
  <conditionalFormatting sqref="BN246:BN254">
    <cfRule type="dataBar" priority="1636">
      <dataBar>
        <cfvo type="min"/>
        <cfvo type="max"/>
        <color rgb="FF628DC4"/>
      </dataBar>
    </cfRule>
  </conditionalFormatting>
  <conditionalFormatting sqref="BN260:BN268">
    <cfRule type="dataBar" priority="1705">
      <dataBar>
        <cfvo type="min"/>
        <cfvo type="max"/>
        <color rgb="FF628DC4"/>
      </dataBar>
    </cfRule>
  </conditionalFormatting>
  <conditionalFormatting sqref="BN274:BN276">
    <cfRule type="dataBar" priority="1774">
      <dataBar>
        <cfvo type="min"/>
        <cfvo type="max"/>
        <color rgb="FF628DC4"/>
      </dataBar>
    </cfRule>
  </conditionalFormatting>
  <conditionalFormatting sqref="BN282:BN287">
    <cfRule type="dataBar" priority="1843">
      <dataBar>
        <cfvo type="min"/>
        <cfvo type="max"/>
        <color rgb="FF628DC4"/>
      </dataBar>
    </cfRule>
  </conditionalFormatting>
  <conditionalFormatting sqref="BN293:BN300">
    <cfRule type="dataBar" priority="1912">
      <dataBar>
        <cfvo type="min"/>
        <cfvo type="max"/>
        <color rgb="FF628DC4"/>
      </dataBar>
    </cfRule>
  </conditionalFormatting>
  <conditionalFormatting sqref="BN306:BN313">
    <cfRule type="dataBar" priority="1981">
      <dataBar>
        <cfvo type="min"/>
        <cfvo type="max"/>
        <color rgb="FF628DC4"/>
      </dataBar>
    </cfRule>
  </conditionalFormatting>
  <conditionalFormatting sqref="BO6:BO8">
    <cfRule type="dataBar" priority="50">
      <dataBar>
        <cfvo type="min"/>
        <cfvo type="max"/>
        <color rgb="FFFFB628"/>
      </dataBar>
    </cfRule>
  </conditionalFormatting>
  <conditionalFormatting sqref="BO14:BO16">
    <cfRule type="dataBar" priority="119">
      <dataBar>
        <cfvo type="min"/>
        <cfvo type="max"/>
        <color rgb="FFFFB628"/>
      </dataBar>
    </cfRule>
  </conditionalFormatting>
  <conditionalFormatting sqref="BO22:BO24">
    <cfRule type="dataBar" priority="188">
      <dataBar>
        <cfvo type="min"/>
        <cfvo type="max"/>
        <color rgb="FFFFB628"/>
      </dataBar>
    </cfRule>
  </conditionalFormatting>
  <conditionalFormatting sqref="BO30:BO36">
    <cfRule type="dataBar" priority="257">
      <dataBar>
        <cfvo type="min"/>
        <cfvo type="max"/>
        <color rgb="FFFFB628"/>
      </dataBar>
    </cfRule>
  </conditionalFormatting>
  <conditionalFormatting sqref="BO42:BO49">
    <cfRule type="dataBar" priority="326">
      <dataBar>
        <cfvo type="min"/>
        <cfvo type="max"/>
        <color rgb="FFFFB628"/>
      </dataBar>
    </cfRule>
  </conditionalFormatting>
  <conditionalFormatting sqref="BO55:BO58">
    <cfRule type="dataBar" priority="395">
      <dataBar>
        <cfvo type="min"/>
        <cfvo type="max"/>
        <color rgb="FFFFB628"/>
      </dataBar>
    </cfRule>
  </conditionalFormatting>
  <conditionalFormatting sqref="BO64:BO66">
    <cfRule type="dataBar" priority="464">
      <dataBar>
        <cfvo type="min"/>
        <cfvo type="max"/>
        <color rgb="FFFFB628"/>
      </dataBar>
    </cfRule>
  </conditionalFormatting>
  <conditionalFormatting sqref="BO72:BO78">
    <cfRule type="dataBar" priority="533">
      <dataBar>
        <cfvo type="min"/>
        <cfvo type="max"/>
        <color rgb="FFFFB628"/>
      </dataBar>
    </cfRule>
  </conditionalFormatting>
  <conditionalFormatting sqref="BO84:BO91">
    <cfRule type="dataBar" priority="602">
      <dataBar>
        <cfvo type="min"/>
        <cfvo type="max"/>
        <color rgb="FFFFB628"/>
      </dataBar>
    </cfRule>
  </conditionalFormatting>
  <conditionalFormatting sqref="BO97:BO100">
    <cfRule type="dataBar" priority="671">
      <dataBar>
        <cfvo type="min"/>
        <cfvo type="max"/>
        <color rgb="FFFFB628"/>
      </dataBar>
    </cfRule>
  </conditionalFormatting>
  <conditionalFormatting sqref="BO106:BO108">
    <cfRule type="dataBar" priority="740">
      <dataBar>
        <cfvo type="min"/>
        <cfvo type="max"/>
        <color rgb="FFFFB628"/>
      </dataBar>
    </cfRule>
  </conditionalFormatting>
  <conditionalFormatting sqref="BO114:BO120">
    <cfRule type="dataBar" priority="809">
      <dataBar>
        <cfvo type="min"/>
        <cfvo type="max"/>
        <color rgb="FFFFB628"/>
      </dataBar>
    </cfRule>
  </conditionalFormatting>
  <conditionalFormatting sqref="BO126:BO133">
    <cfRule type="dataBar" priority="878">
      <dataBar>
        <cfvo type="min"/>
        <cfvo type="max"/>
        <color rgb="FFFFB628"/>
      </dataBar>
    </cfRule>
  </conditionalFormatting>
  <conditionalFormatting sqref="BO139:BO142">
    <cfRule type="dataBar" priority="947">
      <dataBar>
        <cfvo type="min"/>
        <cfvo type="max"/>
        <color rgb="FFFFB628"/>
      </dataBar>
    </cfRule>
  </conditionalFormatting>
  <conditionalFormatting sqref="BO148:BO150">
    <cfRule type="dataBar" priority="1016">
      <dataBar>
        <cfvo type="min"/>
        <cfvo type="max"/>
        <color rgb="FFFFB628"/>
      </dataBar>
    </cfRule>
  </conditionalFormatting>
  <conditionalFormatting sqref="BO156:BO162">
    <cfRule type="dataBar" priority="1085">
      <dataBar>
        <cfvo type="min"/>
        <cfvo type="max"/>
        <color rgb="FFFFB628"/>
      </dataBar>
    </cfRule>
  </conditionalFormatting>
  <conditionalFormatting sqref="BO168:BO175">
    <cfRule type="dataBar" priority="1154">
      <dataBar>
        <cfvo type="min"/>
        <cfvo type="max"/>
        <color rgb="FFFFB628"/>
      </dataBar>
    </cfRule>
  </conditionalFormatting>
  <conditionalFormatting sqref="BO181:BO184">
    <cfRule type="dataBar" priority="1223">
      <dataBar>
        <cfvo type="min"/>
        <cfvo type="max"/>
        <color rgb="FFFFB628"/>
      </dataBar>
    </cfRule>
  </conditionalFormatting>
  <conditionalFormatting sqref="BO190:BO192">
    <cfRule type="dataBar" priority="1292">
      <dataBar>
        <cfvo type="min"/>
        <cfvo type="max"/>
        <color rgb="FFFFB628"/>
      </dataBar>
    </cfRule>
  </conditionalFormatting>
  <conditionalFormatting sqref="BO198:BO204">
    <cfRule type="dataBar" priority="1361">
      <dataBar>
        <cfvo type="min"/>
        <cfvo type="max"/>
        <color rgb="FFFFB628"/>
      </dataBar>
    </cfRule>
  </conditionalFormatting>
  <conditionalFormatting sqref="BO210:BO212">
    <cfRule type="dataBar" priority="1430">
      <dataBar>
        <cfvo type="min"/>
        <cfvo type="max"/>
        <color rgb="FFFFB628"/>
      </dataBar>
    </cfRule>
  </conditionalFormatting>
  <conditionalFormatting sqref="BO218:BO226">
    <cfRule type="dataBar" priority="1499">
      <dataBar>
        <cfvo type="min"/>
        <cfvo type="max"/>
        <color rgb="FFFFB628"/>
      </dataBar>
    </cfRule>
  </conditionalFormatting>
  <conditionalFormatting sqref="BO232:BO240">
    <cfRule type="dataBar" priority="1568">
      <dataBar>
        <cfvo type="min"/>
        <cfvo type="max"/>
        <color rgb="FFFFB628"/>
      </dataBar>
    </cfRule>
  </conditionalFormatting>
  <conditionalFormatting sqref="BO246:BO254">
    <cfRule type="dataBar" priority="1637">
      <dataBar>
        <cfvo type="min"/>
        <cfvo type="max"/>
        <color rgb="FFFFB628"/>
      </dataBar>
    </cfRule>
  </conditionalFormatting>
  <conditionalFormatting sqref="BO260:BO268">
    <cfRule type="dataBar" priority="1706">
      <dataBar>
        <cfvo type="min"/>
        <cfvo type="max"/>
        <color rgb="FFFFB628"/>
      </dataBar>
    </cfRule>
  </conditionalFormatting>
  <conditionalFormatting sqref="BO274:BO276">
    <cfRule type="dataBar" priority="1775">
      <dataBar>
        <cfvo type="min"/>
        <cfvo type="max"/>
        <color rgb="FFFFB628"/>
      </dataBar>
    </cfRule>
  </conditionalFormatting>
  <conditionalFormatting sqref="BO282:BO287">
    <cfRule type="dataBar" priority="1844">
      <dataBar>
        <cfvo type="min"/>
        <cfvo type="max"/>
        <color rgb="FFFFB628"/>
      </dataBar>
    </cfRule>
  </conditionalFormatting>
  <conditionalFormatting sqref="BO293:BO300">
    <cfRule type="dataBar" priority="1913">
      <dataBar>
        <cfvo type="min"/>
        <cfvo type="max"/>
        <color rgb="FFFFB628"/>
      </dataBar>
    </cfRule>
  </conditionalFormatting>
  <conditionalFormatting sqref="BO306:BO313">
    <cfRule type="dataBar" priority="1982">
      <dataBar>
        <cfvo type="min"/>
        <cfvo type="max"/>
        <color rgb="FFFFB628"/>
      </dataBar>
    </cfRule>
  </conditionalFormatting>
  <conditionalFormatting sqref="BP6:BP8">
    <cfRule type="dataBar" priority="51">
      <dataBar>
        <cfvo type="min"/>
        <cfvo type="max"/>
        <color rgb="FFF08D5B"/>
      </dataBar>
    </cfRule>
  </conditionalFormatting>
  <conditionalFormatting sqref="BP14:BP16">
    <cfRule type="dataBar" priority="120">
      <dataBar>
        <cfvo type="min"/>
        <cfvo type="max"/>
        <color rgb="FFF08D5B"/>
      </dataBar>
    </cfRule>
  </conditionalFormatting>
  <conditionalFormatting sqref="BP22:BP24">
    <cfRule type="dataBar" priority="189">
      <dataBar>
        <cfvo type="min"/>
        <cfvo type="max"/>
        <color rgb="FFF08D5B"/>
      </dataBar>
    </cfRule>
  </conditionalFormatting>
  <conditionalFormatting sqref="BP30:BP36">
    <cfRule type="dataBar" priority="258">
      <dataBar>
        <cfvo type="min"/>
        <cfvo type="max"/>
        <color rgb="FFF08D5B"/>
      </dataBar>
    </cfRule>
  </conditionalFormatting>
  <conditionalFormatting sqref="BP42:BP49">
    <cfRule type="dataBar" priority="327">
      <dataBar>
        <cfvo type="min"/>
        <cfvo type="max"/>
        <color rgb="FFF08D5B"/>
      </dataBar>
    </cfRule>
  </conditionalFormatting>
  <conditionalFormatting sqref="BP55:BP58">
    <cfRule type="dataBar" priority="396">
      <dataBar>
        <cfvo type="min"/>
        <cfvo type="max"/>
        <color rgb="FFF08D5B"/>
      </dataBar>
    </cfRule>
  </conditionalFormatting>
  <conditionalFormatting sqref="BP64:BP66">
    <cfRule type="dataBar" priority="465">
      <dataBar>
        <cfvo type="min"/>
        <cfvo type="max"/>
        <color rgb="FFF08D5B"/>
      </dataBar>
    </cfRule>
  </conditionalFormatting>
  <conditionalFormatting sqref="BP72:BP78">
    <cfRule type="dataBar" priority="534">
      <dataBar>
        <cfvo type="min"/>
        <cfvo type="max"/>
        <color rgb="FFF08D5B"/>
      </dataBar>
    </cfRule>
  </conditionalFormatting>
  <conditionalFormatting sqref="BP84:BP91">
    <cfRule type="dataBar" priority="603">
      <dataBar>
        <cfvo type="min"/>
        <cfvo type="max"/>
        <color rgb="FFF08D5B"/>
      </dataBar>
    </cfRule>
  </conditionalFormatting>
  <conditionalFormatting sqref="BP97:BP100">
    <cfRule type="dataBar" priority="672">
      <dataBar>
        <cfvo type="min"/>
        <cfvo type="max"/>
        <color rgb="FFF08D5B"/>
      </dataBar>
    </cfRule>
  </conditionalFormatting>
  <conditionalFormatting sqref="BP106:BP108">
    <cfRule type="dataBar" priority="741">
      <dataBar>
        <cfvo type="min"/>
        <cfvo type="max"/>
        <color rgb="FFF08D5B"/>
      </dataBar>
    </cfRule>
  </conditionalFormatting>
  <conditionalFormatting sqref="BP114:BP120">
    <cfRule type="dataBar" priority="810">
      <dataBar>
        <cfvo type="min"/>
        <cfvo type="max"/>
        <color rgb="FFF08D5B"/>
      </dataBar>
    </cfRule>
  </conditionalFormatting>
  <conditionalFormatting sqref="BP126:BP133">
    <cfRule type="dataBar" priority="879">
      <dataBar>
        <cfvo type="min"/>
        <cfvo type="max"/>
        <color rgb="FFF08D5B"/>
      </dataBar>
    </cfRule>
  </conditionalFormatting>
  <conditionalFormatting sqref="BP139:BP142">
    <cfRule type="dataBar" priority="948">
      <dataBar>
        <cfvo type="min"/>
        <cfvo type="max"/>
        <color rgb="FFF08D5B"/>
      </dataBar>
    </cfRule>
  </conditionalFormatting>
  <conditionalFormatting sqref="BP148:BP150">
    <cfRule type="dataBar" priority="1017">
      <dataBar>
        <cfvo type="min"/>
        <cfvo type="max"/>
        <color rgb="FFF08D5B"/>
      </dataBar>
    </cfRule>
  </conditionalFormatting>
  <conditionalFormatting sqref="BP156:BP162">
    <cfRule type="dataBar" priority="1086">
      <dataBar>
        <cfvo type="min"/>
        <cfvo type="max"/>
        <color rgb="FFF08D5B"/>
      </dataBar>
    </cfRule>
  </conditionalFormatting>
  <conditionalFormatting sqref="BP168:BP175">
    <cfRule type="dataBar" priority="1155">
      <dataBar>
        <cfvo type="min"/>
        <cfvo type="max"/>
        <color rgb="FFF08D5B"/>
      </dataBar>
    </cfRule>
  </conditionalFormatting>
  <conditionalFormatting sqref="BP181:BP184">
    <cfRule type="dataBar" priority="1224">
      <dataBar>
        <cfvo type="min"/>
        <cfvo type="max"/>
        <color rgb="FFF08D5B"/>
      </dataBar>
    </cfRule>
  </conditionalFormatting>
  <conditionalFormatting sqref="BP190:BP192">
    <cfRule type="dataBar" priority="1293">
      <dataBar>
        <cfvo type="min"/>
        <cfvo type="max"/>
        <color rgb="FFF08D5B"/>
      </dataBar>
    </cfRule>
  </conditionalFormatting>
  <conditionalFormatting sqref="BP198:BP204">
    <cfRule type="dataBar" priority="1362">
      <dataBar>
        <cfvo type="min"/>
        <cfvo type="max"/>
        <color rgb="FFF08D5B"/>
      </dataBar>
    </cfRule>
  </conditionalFormatting>
  <conditionalFormatting sqref="BP210:BP212">
    <cfRule type="dataBar" priority="1431">
      <dataBar>
        <cfvo type="min"/>
        <cfvo type="max"/>
        <color rgb="FFF08D5B"/>
      </dataBar>
    </cfRule>
  </conditionalFormatting>
  <conditionalFormatting sqref="BP218:BP226">
    <cfRule type="dataBar" priority="1500">
      <dataBar>
        <cfvo type="min"/>
        <cfvo type="max"/>
        <color rgb="FFF08D5B"/>
      </dataBar>
    </cfRule>
  </conditionalFormatting>
  <conditionalFormatting sqref="BP232:BP240">
    <cfRule type="dataBar" priority="1569">
      <dataBar>
        <cfvo type="min"/>
        <cfvo type="max"/>
        <color rgb="FFF08D5B"/>
      </dataBar>
    </cfRule>
  </conditionalFormatting>
  <conditionalFormatting sqref="BP246:BP254">
    <cfRule type="dataBar" priority="1638">
      <dataBar>
        <cfvo type="min"/>
        <cfvo type="max"/>
        <color rgb="FFF08D5B"/>
      </dataBar>
    </cfRule>
  </conditionalFormatting>
  <conditionalFormatting sqref="BP260:BP268">
    <cfRule type="dataBar" priority="1707">
      <dataBar>
        <cfvo type="min"/>
        <cfvo type="max"/>
        <color rgb="FFF08D5B"/>
      </dataBar>
    </cfRule>
  </conditionalFormatting>
  <conditionalFormatting sqref="BP274:BP276">
    <cfRule type="dataBar" priority="1776">
      <dataBar>
        <cfvo type="min"/>
        <cfvo type="max"/>
        <color rgb="FFF08D5B"/>
      </dataBar>
    </cfRule>
  </conditionalFormatting>
  <conditionalFormatting sqref="BP282:BP287">
    <cfRule type="dataBar" priority="1845">
      <dataBar>
        <cfvo type="min"/>
        <cfvo type="max"/>
        <color rgb="FFF08D5B"/>
      </dataBar>
    </cfRule>
  </conditionalFormatting>
  <conditionalFormatting sqref="BP293:BP300">
    <cfRule type="dataBar" priority="1914">
      <dataBar>
        <cfvo type="min"/>
        <cfvo type="max"/>
        <color rgb="FFF08D5B"/>
      </dataBar>
    </cfRule>
  </conditionalFormatting>
  <conditionalFormatting sqref="BP306:BP313">
    <cfRule type="dataBar" priority="1983">
      <dataBar>
        <cfvo type="min"/>
        <cfvo type="max"/>
        <color rgb="FFF08D5B"/>
      </dataBar>
    </cfRule>
  </conditionalFormatting>
  <conditionalFormatting sqref="BR6:BR8">
    <cfRule type="dataBar" priority="52">
      <dataBar>
        <cfvo type="min"/>
        <cfvo type="max"/>
        <color rgb="FF628DC4"/>
      </dataBar>
    </cfRule>
  </conditionalFormatting>
  <conditionalFormatting sqref="BR14:BR16">
    <cfRule type="dataBar" priority="121">
      <dataBar>
        <cfvo type="min"/>
        <cfvo type="max"/>
        <color rgb="FF628DC4"/>
      </dataBar>
    </cfRule>
  </conditionalFormatting>
  <conditionalFormatting sqref="BR22:BR24">
    <cfRule type="dataBar" priority="190">
      <dataBar>
        <cfvo type="min"/>
        <cfvo type="max"/>
        <color rgb="FF628DC4"/>
      </dataBar>
    </cfRule>
  </conditionalFormatting>
  <conditionalFormatting sqref="BR30:BR36">
    <cfRule type="dataBar" priority="259">
      <dataBar>
        <cfvo type="min"/>
        <cfvo type="max"/>
        <color rgb="FF628DC4"/>
      </dataBar>
    </cfRule>
  </conditionalFormatting>
  <conditionalFormatting sqref="BR42:BR49">
    <cfRule type="dataBar" priority="328">
      <dataBar>
        <cfvo type="min"/>
        <cfvo type="max"/>
        <color rgb="FF628DC4"/>
      </dataBar>
    </cfRule>
  </conditionalFormatting>
  <conditionalFormatting sqref="BR55:BR58">
    <cfRule type="dataBar" priority="397">
      <dataBar>
        <cfvo type="min"/>
        <cfvo type="max"/>
        <color rgb="FF628DC4"/>
      </dataBar>
    </cfRule>
  </conditionalFormatting>
  <conditionalFormatting sqref="BR64:BR66">
    <cfRule type="dataBar" priority="466">
      <dataBar>
        <cfvo type="min"/>
        <cfvo type="max"/>
        <color rgb="FF628DC4"/>
      </dataBar>
    </cfRule>
  </conditionalFormatting>
  <conditionalFormatting sqref="BR72:BR78">
    <cfRule type="dataBar" priority="535">
      <dataBar>
        <cfvo type="min"/>
        <cfvo type="max"/>
        <color rgb="FF628DC4"/>
      </dataBar>
    </cfRule>
  </conditionalFormatting>
  <conditionalFormatting sqref="BR84:BR91">
    <cfRule type="dataBar" priority="604">
      <dataBar>
        <cfvo type="min"/>
        <cfvo type="max"/>
        <color rgb="FF628DC4"/>
      </dataBar>
    </cfRule>
  </conditionalFormatting>
  <conditionalFormatting sqref="BR97:BR100">
    <cfRule type="dataBar" priority="673">
      <dataBar>
        <cfvo type="min"/>
        <cfvo type="max"/>
        <color rgb="FF628DC4"/>
      </dataBar>
    </cfRule>
  </conditionalFormatting>
  <conditionalFormatting sqref="BR106:BR108">
    <cfRule type="dataBar" priority="742">
      <dataBar>
        <cfvo type="min"/>
        <cfvo type="max"/>
        <color rgb="FF628DC4"/>
      </dataBar>
    </cfRule>
  </conditionalFormatting>
  <conditionalFormatting sqref="BR114:BR120">
    <cfRule type="dataBar" priority="811">
      <dataBar>
        <cfvo type="min"/>
        <cfvo type="max"/>
        <color rgb="FF628DC4"/>
      </dataBar>
    </cfRule>
  </conditionalFormatting>
  <conditionalFormatting sqref="BR126:BR133">
    <cfRule type="dataBar" priority="880">
      <dataBar>
        <cfvo type="min"/>
        <cfvo type="max"/>
        <color rgb="FF628DC4"/>
      </dataBar>
    </cfRule>
  </conditionalFormatting>
  <conditionalFormatting sqref="BR139:BR142">
    <cfRule type="dataBar" priority="949">
      <dataBar>
        <cfvo type="min"/>
        <cfvo type="max"/>
        <color rgb="FF628DC4"/>
      </dataBar>
    </cfRule>
  </conditionalFormatting>
  <conditionalFormatting sqref="BR148:BR150">
    <cfRule type="dataBar" priority="1018">
      <dataBar>
        <cfvo type="min"/>
        <cfvo type="max"/>
        <color rgb="FF628DC4"/>
      </dataBar>
    </cfRule>
  </conditionalFormatting>
  <conditionalFormatting sqref="BR156:BR162">
    <cfRule type="dataBar" priority="1087">
      <dataBar>
        <cfvo type="min"/>
        <cfvo type="max"/>
        <color rgb="FF628DC4"/>
      </dataBar>
    </cfRule>
  </conditionalFormatting>
  <conditionalFormatting sqref="BR168:BR175">
    <cfRule type="dataBar" priority="1156">
      <dataBar>
        <cfvo type="min"/>
        <cfvo type="max"/>
        <color rgb="FF628DC4"/>
      </dataBar>
    </cfRule>
  </conditionalFormatting>
  <conditionalFormatting sqref="BR181:BR184">
    <cfRule type="dataBar" priority="1225">
      <dataBar>
        <cfvo type="min"/>
        <cfvo type="max"/>
        <color rgb="FF628DC4"/>
      </dataBar>
    </cfRule>
  </conditionalFormatting>
  <conditionalFormatting sqref="BR190:BR192">
    <cfRule type="dataBar" priority="1294">
      <dataBar>
        <cfvo type="min"/>
        <cfvo type="max"/>
        <color rgb="FF628DC4"/>
      </dataBar>
    </cfRule>
  </conditionalFormatting>
  <conditionalFormatting sqref="BR198:BR204">
    <cfRule type="dataBar" priority="1363">
      <dataBar>
        <cfvo type="min"/>
        <cfvo type="max"/>
        <color rgb="FF628DC4"/>
      </dataBar>
    </cfRule>
  </conditionalFormatting>
  <conditionalFormatting sqref="BR210:BR212">
    <cfRule type="dataBar" priority="1432">
      <dataBar>
        <cfvo type="min"/>
        <cfvo type="max"/>
        <color rgb="FF628DC4"/>
      </dataBar>
    </cfRule>
  </conditionalFormatting>
  <conditionalFormatting sqref="BR218:BR226">
    <cfRule type="dataBar" priority="1501">
      <dataBar>
        <cfvo type="min"/>
        <cfvo type="max"/>
        <color rgb="FF628DC4"/>
      </dataBar>
    </cfRule>
  </conditionalFormatting>
  <conditionalFormatting sqref="BR232:BR240">
    <cfRule type="dataBar" priority="1570">
      <dataBar>
        <cfvo type="min"/>
        <cfvo type="max"/>
        <color rgb="FF628DC4"/>
      </dataBar>
    </cfRule>
  </conditionalFormatting>
  <conditionalFormatting sqref="BR246:BR254">
    <cfRule type="dataBar" priority="1639">
      <dataBar>
        <cfvo type="min"/>
        <cfvo type="max"/>
        <color rgb="FF628DC4"/>
      </dataBar>
    </cfRule>
  </conditionalFormatting>
  <conditionalFormatting sqref="BR260:BR268">
    <cfRule type="dataBar" priority="1708">
      <dataBar>
        <cfvo type="min"/>
        <cfvo type="max"/>
        <color rgb="FF628DC4"/>
      </dataBar>
    </cfRule>
  </conditionalFormatting>
  <conditionalFormatting sqref="BR274:BR276">
    <cfRule type="dataBar" priority="1777">
      <dataBar>
        <cfvo type="min"/>
        <cfvo type="max"/>
        <color rgb="FF628DC4"/>
      </dataBar>
    </cfRule>
  </conditionalFormatting>
  <conditionalFormatting sqref="BR282:BR287">
    <cfRule type="dataBar" priority="1846">
      <dataBar>
        <cfvo type="min"/>
        <cfvo type="max"/>
        <color rgb="FF628DC4"/>
      </dataBar>
    </cfRule>
  </conditionalFormatting>
  <conditionalFormatting sqref="BR293:BR300">
    <cfRule type="dataBar" priority="1915">
      <dataBar>
        <cfvo type="min"/>
        <cfvo type="max"/>
        <color rgb="FF628DC4"/>
      </dataBar>
    </cfRule>
  </conditionalFormatting>
  <conditionalFormatting sqref="BR306:BR313">
    <cfRule type="dataBar" priority="1984">
      <dataBar>
        <cfvo type="min"/>
        <cfvo type="max"/>
        <color rgb="FF628DC4"/>
      </dataBar>
    </cfRule>
  </conditionalFormatting>
  <conditionalFormatting sqref="BS6:BS8">
    <cfRule type="dataBar" priority="53">
      <dataBar>
        <cfvo type="min"/>
        <cfvo type="max"/>
        <color rgb="FFFFB628"/>
      </dataBar>
    </cfRule>
  </conditionalFormatting>
  <conditionalFormatting sqref="BS14:BS16">
    <cfRule type="dataBar" priority="122">
      <dataBar>
        <cfvo type="min"/>
        <cfvo type="max"/>
        <color rgb="FFFFB628"/>
      </dataBar>
    </cfRule>
  </conditionalFormatting>
  <conditionalFormatting sqref="BS22:BS24">
    <cfRule type="dataBar" priority="191">
      <dataBar>
        <cfvo type="min"/>
        <cfvo type="max"/>
        <color rgb="FFFFB628"/>
      </dataBar>
    </cfRule>
  </conditionalFormatting>
  <conditionalFormatting sqref="BS30:BS36">
    <cfRule type="dataBar" priority="260">
      <dataBar>
        <cfvo type="min"/>
        <cfvo type="max"/>
        <color rgb="FFFFB628"/>
      </dataBar>
    </cfRule>
  </conditionalFormatting>
  <conditionalFormatting sqref="BS42:BS49">
    <cfRule type="dataBar" priority="329">
      <dataBar>
        <cfvo type="min"/>
        <cfvo type="max"/>
        <color rgb="FFFFB628"/>
      </dataBar>
    </cfRule>
  </conditionalFormatting>
  <conditionalFormatting sqref="BS55:BS58">
    <cfRule type="dataBar" priority="398">
      <dataBar>
        <cfvo type="min"/>
        <cfvo type="max"/>
        <color rgb="FFFFB628"/>
      </dataBar>
    </cfRule>
  </conditionalFormatting>
  <conditionalFormatting sqref="BS64:BS66">
    <cfRule type="dataBar" priority="467">
      <dataBar>
        <cfvo type="min"/>
        <cfvo type="max"/>
        <color rgb="FFFFB628"/>
      </dataBar>
    </cfRule>
  </conditionalFormatting>
  <conditionalFormatting sqref="BS72:BS78">
    <cfRule type="dataBar" priority="536">
      <dataBar>
        <cfvo type="min"/>
        <cfvo type="max"/>
        <color rgb="FFFFB628"/>
      </dataBar>
    </cfRule>
  </conditionalFormatting>
  <conditionalFormatting sqref="BS84:BS91">
    <cfRule type="dataBar" priority="605">
      <dataBar>
        <cfvo type="min"/>
        <cfvo type="max"/>
        <color rgb="FFFFB628"/>
      </dataBar>
    </cfRule>
  </conditionalFormatting>
  <conditionalFormatting sqref="BS97:BS100">
    <cfRule type="dataBar" priority="674">
      <dataBar>
        <cfvo type="min"/>
        <cfvo type="max"/>
        <color rgb="FFFFB628"/>
      </dataBar>
    </cfRule>
  </conditionalFormatting>
  <conditionalFormatting sqref="BS106:BS108">
    <cfRule type="dataBar" priority="743">
      <dataBar>
        <cfvo type="min"/>
        <cfvo type="max"/>
        <color rgb="FFFFB628"/>
      </dataBar>
    </cfRule>
  </conditionalFormatting>
  <conditionalFormatting sqref="BS114:BS120">
    <cfRule type="dataBar" priority="812">
      <dataBar>
        <cfvo type="min"/>
        <cfvo type="max"/>
        <color rgb="FFFFB628"/>
      </dataBar>
    </cfRule>
  </conditionalFormatting>
  <conditionalFormatting sqref="BS126:BS133">
    <cfRule type="dataBar" priority="881">
      <dataBar>
        <cfvo type="min"/>
        <cfvo type="max"/>
        <color rgb="FFFFB628"/>
      </dataBar>
    </cfRule>
  </conditionalFormatting>
  <conditionalFormatting sqref="BS139:BS142">
    <cfRule type="dataBar" priority="950">
      <dataBar>
        <cfvo type="min"/>
        <cfvo type="max"/>
        <color rgb="FFFFB628"/>
      </dataBar>
    </cfRule>
  </conditionalFormatting>
  <conditionalFormatting sqref="BS148:BS150">
    <cfRule type="dataBar" priority="1019">
      <dataBar>
        <cfvo type="min"/>
        <cfvo type="max"/>
        <color rgb="FFFFB628"/>
      </dataBar>
    </cfRule>
  </conditionalFormatting>
  <conditionalFormatting sqref="BS156:BS162">
    <cfRule type="dataBar" priority="1088">
      <dataBar>
        <cfvo type="min"/>
        <cfvo type="max"/>
        <color rgb="FFFFB628"/>
      </dataBar>
    </cfRule>
  </conditionalFormatting>
  <conditionalFormatting sqref="BS168:BS175">
    <cfRule type="dataBar" priority="1157">
      <dataBar>
        <cfvo type="min"/>
        <cfvo type="max"/>
        <color rgb="FFFFB628"/>
      </dataBar>
    </cfRule>
  </conditionalFormatting>
  <conditionalFormatting sqref="BS181:BS184">
    <cfRule type="dataBar" priority="1226">
      <dataBar>
        <cfvo type="min"/>
        <cfvo type="max"/>
        <color rgb="FFFFB628"/>
      </dataBar>
    </cfRule>
  </conditionalFormatting>
  <conditionalFormatting sqref="BS190:BS192">
    <cfRule type="dataBar" priority="1295">
      <dataBar>
        <cfvo type="min"/>
        <cfvo type="max"/>
        <color rgb="FFFFB628"/>
      </dataBar>
    </cfRule>
  </conditionalFormatting>
  <conditionalFormatting sqref="BS198:BS204">
    <cfRule type="dataBar" priority="1364">
      <dataBar>
        <cfvo type="min"/>
        <cfvo type="max"/>
        <color rgb="FFFFB628"/>
      </dataBar>
    </cfRule>
  </conditionalFormatting>
  <conditionalFormatting sqref="BS210:BS212">
    <cfRule type="dataBar" priority="1433">
      <dataBar>
        <cfvo type="min"/>
        <cfvo type="max"/>
        <color rgb="FFFFB628"/>
      </dataBar>
    </cfRule>
  </conditionalFormatting>
  <conditionalFormatting sqref="BS218:BS226">
    <cfRule type="dataBar" priority="1502">
      <dataBar>
        <cfvo type="min"/>
        <cfvo type="max"/>
        <color rgb="FFFFB628"/>
      </dataBar>
    </cfRule>
  </conditionalFormatting>
  <conditionalFormatting sqref="BS232:BS240">
    <cfRule type="dataBar" priority="1571">
      <dataBar>
        <cfvo type="min"/>
        <cfvo type="max"/>
        <color rgb="FFFFB628"/>
      </dataBar>
    </cfRule>
  </conditionalFormatting>
  <conditionalFormatting sqref="BS246:BS254">
    <cfRule type="dataBar" priority="1640">
      <dataBar>
        <cfvo type="min"/>
        <cfvo type="max"/>
        <color rgb="FFFFB628"/>
      </dataBar>
    </cfRule>
  </conditionalFormatting>
  <conditionalFormatting sqref="BS260:BS268">
    <cfRule type="dataBar" priority="1709">
      <dataBar>
        <cfvo type="min"/>
        <cfvo type="max"/>
        <color rgb="FFFFB628"/>
      </dataBar>
    </cfRule>
  </conditionalFormatting>
  <conditionalFormatting sqref="BS274:BS276">
    <cfRule type="dataBar" priority="1778">
      <dataBar>
        <cfvo type="min"/>
        <cfvo type="max"/>
        <color rgb="FFFFB628"/>
      </dataBar>
    </cfRule>
  </conditionalFormatting>
  <conditionalFormatting sqref="BS282:BS287">
    <cfRule type="dataBar" priority="1847">
      <dataBar>
        <cfvo type="min"/>
        <cfvo type="max"/>
        <color rgb="FFFFB628"/>
      </dataBar>
    </cfRule>
  </conditionalFormatting>
  <conditionalFormatting sqref="BS293:BS300">
    <cfRule type="dataBar" priority="1916">
      <dataBar>
        <cfvo type="min"/>
        <cfvo type="max"/>
        <color rgb="FFFFB628"/>
      </dataBar>
    </cfRule>
  </conditionalFormatting>
  <conditionalFormatting sqref="BS306:BS313">
    <cfRule type="dataBar" priority="1985">
      <dataBar>
        <cfvo type="min"/>
        <cfvo type="max"/>
        <color rgb="FFFFB628"/>
      </dataBar>
    </cfRule>
  </conditionalFormatting>
  <conditionalFormatting sqref="BT6:BT8">
    <cfRule type="dataBar" priority="54">
      <dataBar>
        <cfvo type="min"/>
        <cfvo type="max"/>
        <color rgb="FFF08D5B"/>
      </dataBar>
    </cfRule>
  </conditionalFormatting>
  <conditionalFormatting sqref="BT14:BT16">
    <cfRule type="dataBar" priority="123">
      <dataBar>
        <cfvo type="min"/>
        <cfvo type="max"/>
        <color rgb="FFF08D5B"/>
      </dataBar>
    </cfRule>
  </conditionalFormatting>
  <conditionalFormatting sqref="BT22:BT24">
    <cfRule type="dataBar" priority="192">
      <dataBar>
        <cfvo type="min"/>
        <cfvo type="max"/>
        <color rgb="FFF08D5B"/>
      </dataBar>
    </cfRule>
  </conditionalFormatting>
  <conditionalFormatting sqref="BT30:BT36">
    <cfRule type="dataBar" priority="261">
      <dataBar>
        <cfvo type="min"/>
        <cfvo type="max"/>
        <color rgb="FFF08D5B"/>
      </dataBar>
    </cfRule>
  </conditionalFormatting>
  <conditionalFormatting sqref="BT42:BT49">
    <cfRule type="dataBar" priority="330">
      <dataBar>
        <cfvo type="min"/>
        <cfvo type="max"/>
        <color rgb="FFF08D5B"/>
      </dataBar>
    </cfRule>
  </conditionalFormatting>
  <conditionalFormatting sqref="BT55:BT58">
    <cfRule type="dataBar" priority="399">
      <dataBar>
        <cfvo type="min"/>
        <cfvo type="max"/>
        <color rgb="FFF08D5B"/>
      </dataBar>
    </cfRule>
  </conditionalFormatting>
  <conditionalFormatting sqref="BT64:BT66">
    <cfRule type="dataBar" priority="468">
      <dataBar>
        <cfvo type="min"/>
        <cfvo type="max"/>
        <color rgb="FFF08D5B"/>
      </dataBar>
    </cfRule>
  </conditionalFormatting>
  <conditionalFormatting sqref="BT72:BT78">
    <cfRule type="dataBar" priority="537">
      <dataBar>
        <cfvo type="min"/>
        <cfvo type="max"/>
        <color rgb="FFF08D5B"/>
      </dataBar>
    </cfRule>
  </conditionalFormatting>
  <conditionalFormatting sqref="BT84:BT91">
    <cfRule type="dataBar" priority="606">
      <dataBar>
        <cfvo type="min"/>
        <cfvo type="max"/>
        <color rgb="FFF08D5B"/>
      </dataBar>
    </cfRule>
  </conditionalFormatting>
  <conditionalFormatting sqref="BT97:BT100">
    <cfRule type="dataBar" priority="675">
      <dataBar>
        <cfvo type="min"/>
        <cfvo type="max"/>
        <color rgb="FFF08D5B"/>
      </dataBar>
    </cfRule>
  </conditionalFormatting>
  <conditionalFormatting sqref="BT106:BT108">
    <cfRule type="dataBar" priority="744">
      <dataBar>
        <cfvo type="min"/>
        <cfvo type="max"/>
        <color rgb="FFF08D5B"/>
      </dataBar>
    </cfRule>
  </conditionalFormatting>
  <conditionalFormatting sqref="BT114:BT120">
    <cfRule type="dataBar" priority="813">
      <dataBar>
        <cfvo type="min"/>
        <cfvo type="max"/>
        <color rgb="FFF08D5B"/>
      </dataBar>
    </cfRule>
  </conditionalFormatting>
  <conditionalFormatting sqref="BT126:BT133">
    <cfRule type="dataBar" priority="882">
      <dataBar>
        <cfvo type="min"/>
        <cfvo type="max"/>
        <color rgb="FFF08D5B"/>
      </dataBar>
    </cfRule>
  </conditionalFormatting>
  <conditionalFormatting sqref="BT139:BT142">
    <cfRule type="dataBar" priority="951">
      <dataBar>
        <cfvo type="min"/>
        <cfvo type="max"/>
        <color rgb="FFF08D5B"/>
      </dataBar>
    </cfRule>
  </conditionalFormatting>
  <conditionalFormatting sqref="BT148:BT150">
    <cfRule type="dataBar" priority="1020">
      <dataBar>
        <cfvo type="min"/>
        <cfvo type="max"/>
        <color rgb="FFF08D5B"/>
      </dataBar>
    </cfRule>
  </conditionalFormatting>
  <conditionalFormatting sqref="BT156:BT162">
    <cfRule type="dataBar" priority="1089">
      <dataBar>
        <cfvo type="min"/>
        <cfvo type="max"/>
        <color rgb="FFF08D5B"/>
      </dataBar>
    </cfRule>
  </conditionalFormatting>
  <conditionalFormatting sqref="BT168:BT175">
    <cfRule type="dataBar" priority="1158">
      <dataBar>
        <cfvo type="min"/>
        <cfvo type="max"/>
        <color rgb="FFF08D5B"/>
      </dataBar>
    </cfRule>
  </conditionalFormatting>
  <conditionalFormatting sqref="BT181:BT184">
    <cfRule type="dataBar" priority="1227">
      <dataBar>
        <cfvo type="min"/>
        <cfvo type="max"/>
        <color rgb="FFF08D5B"/>
      </dataBar>
    </cfRule>
  </conditionalFormatting>
  <conditionalFormatting sqref="BT190:BT192">
    <cfRule type="dataBar" priority="1296">
      <dataBar>
        <cfvo type="min"/>
        <cfvo type="max"/>
        <color rgb="FFF08D5B"/>
      </dataBar>
    </cfRule>
  </conditionalFormatting>
  <conditionalFormatting sqref="BT198:BT204">
    <cfRule type="dataBar" priority="1365">
      <dataBar>
        <cfvo type="min"/>
        <cfvo type="max"/>
        <color rgb="FFF08D5B"/>
      </dataBar>
    </cfRule>
  </conditionalFormatting>
  <conditionalFormatting sqref="BT210:BT212">
    <cfRule type="dataBar" priority="1434">
      <dataBar>
        <cfvo type="min"/>
        <cfvo type="max"/>
        <color rgb="FFF08D5B"/>
      </dataBar>
    </cfRule>
  </conditionalFormatting>
  <conditionalFormatting sqref="BT218:BT226">
    <cfRule type="dataBar" priority="1503">
      <dataBar>
        <cfvo type="min"/>
        <cfvo type="max"/>
        <color rgb="FFF08D5B"/>
      </dataBar>
    </cfRule>
  </conditionalFormatting>
  <conditionalFormatting sqref="BT232:BT240">
    <cfRule type="dataBar" priority="1572">
      <dataBar>
        <cfvo type="min"/>
        <cfvo type="max"/>
        <color rgb="FFF08D5B"/>
      </dataBar>
    </cfRule>
  </conditionalFormatting>
  <conditionalFormatting sqref="BT246:BT254">
    <cfRule type="dataBar" priority="1641">
      <dataBar>
        <cfvo type="min"/>
        <cfvo type="max"/>
        <color rgb="FFF08D5B"/>
      </dataBar>
    </cfRule>
  </conditionalFormatting>
  <conditionalFormatting sqref="BT260:BT268">
    <cfRule type="dataBar" priority="1710">
      <dataBar>
        <cfvo type="min"/>
        <cfvo type="max"/>
        <color rgb="FFF08D5B"/>
      </dataBar>
    </cfRule>
  </conditionalFormatting>
  <conditionalFormatting sqref="BT274:BT276">
    <cfRule type="dataBar" priority="1779">
      <dataBar>
        <cfvo type="min"/>
        <cfvo type="max"/>
        <color rgb="FFF08D5B"/>
      </dataBar>
    </cfRule>
  </conditionalFormatting>
  <conditionalFormatting sqref="BT282:BT287">
    <cfRule type="dataBar" priority="1848">
      <dataBar>
        <cfvo type="min"/>
        <cfvo type="max"/>
        <color rgb="FFF08D5B"/>
      </dataBar>
    </cfRule>
  </conditionalFormatting>
  <conditionalFormatting sqref="BT293:BT300">
    <cfRule type="dataBar" priority="1917">
      <dataBar>
        <cfvo type="min"/>
        <cfvo type="max"/>
        <color rgb="FFF08D5B"/>
      </dataBar>
    </cfRule>
  </conditionalFormatting>
  <conditionalFormatting sqref="BT306:BT313">
    <cfRule type="dataBar" priority="1986">
      <dataBar>
        <cfvo type="min"/>
        <cfvo type="max"/>
        <color rgb="FFF08D5B"/>
      </dataBar>
    </cfRule>
  </conditionalFormatting>
  <conditionalFormatting sqref="BV6:BV8">
    <cfRule type="dataBar" priority="55">
      <dataBar>
        <cfvo type="min"/>
        <cfvo type="max"/>
        <color rgb="FF628DC4"/>
      </dataBar>
    </cfRule>
  </conditionalFormatting>
  <conditionalFormatting sqref="BV14:BV16">
    <cfRule type="dataBar" priority="124">
      <dataBar>
        <cfvo type="min"/>
        <cfvo type="max"/>
        <color rgb="FF628DC4"/>
      </dataBar>
    </cfRule>
  </conditionalFormatting>
  <conditionalFormatting sqref="BV22:BV24">
    <cfRule type="dataBar" priority="193">
      <dataBar>
        <cfvo type="min"/>
        <cfvo type="max"/>
        <color rgb="FF628DC4"/>
      </dataBar>
    </cfRule>
  </conditionalFormatting>
  <conditionalFormatting sqref="BV30:BV36">
    <cfRule type="dataBar" priority="262">
      <dataBar>
        <cfvo type="min"/>
        <cfvo type="max"/>
        <color rgb="FF628DC4"/>
      </dataBar>
    </cfRule>
  </conditionalFormatting>
  <conditionalFormatting sqref="BV42:BV49">
    <cfRule type="dataBar" priority="331">
      <dataBar>
        <cfvo type="min"/>
        <cfvo type="max"/>
        <color rgb="FF628DC4"/>
      </dataBar>
    </cfRule>
  </conditionalFormatting>
  <conditionalFormatting sqref="BV55:BV58">
    <cfRule type="dataBar" priority="400">
      <dataBar>
        <cfvo type="min"/>
        <cfvo type="max"/>
        <color rgb="FF628DC4"/>
      </dataBar>
    </cfRule>
  </conditionalFormatting>
  <conditionalFormatting sqref="BV64:BV66">
    <cfRule type="dataBar" priority="469">
      <dataBar>
        <cfvo type="min"/>
        <cfvo type="max"/>
        <color rgb="FF628DC4"/>
      </dataBar>
    </cfRule>
  </conditionalFormatting>
  <conditionalFormatting sqref="BV72:BV78">
    <cfRule type="dataBar" priority="538">
      <dataBar>
        <cfvo type="min"/>
        <cfvo type="max"/>
        <color rgb="FF628DC4"/>
      </dataBar>
    </cfRule>
  </conditionalFormatting>
  <conditionalFormatting sqref="BV84:BV91">
    <cfRule type="dataBar" priority="607">
      <dataBar>
        <cfvo type="min"/>
        <cfvo type="max"/>
        <color rgb="FF628DC4"/>
      </dataBar>
    </cfRule>
  </conditionalFormatting>
  <conditionalFormatting sqref="BV97:BV100">
    <cfRule type="dataBar" priority="676">
      <dataBar>
        <cfvo type="min"/>
        <cfvo type="max"/>
        <color rgb="FF628DC4"/>
      </dataBar>
    </cfRule>
  </conditionalFormatting>
  <conditionalFormatting sqref="BV106:BV108">
    <cfRule type="dataBar" priority="745">
      <dataBar>
        <cfvo type="min"/>
        <cfvo type="max"/>
        <color rgb="FF628DC4"/>
      </dataBar>
    </cfRule>
  </conditionalFormatting>
  <conditionalFormatting sqref="BV114:BV120">
    <cfRule type="dataBar" priority="814">
      <dataBar>
        <cfvo type="min"/>
        <cfvo type="max"/>
        <color rgb="FF628DC4"/>
      </dataBar>
    </cfRule>
  </conditionalFormatting>
  <conditionalFormatting sqref="BV126:BV133">
    <cfRule type="dataBar" priority="883">
      <dataBar>
        <cfvo type="min"/>
        <cfvo type="max"/>
        <color rgb="FF628DC4"/>
      </dataBar>
    </cfRule>
  </conditionalFormatting>
  <conditionalFormatting sqref="BV139:BV142">
    <cfRule type="dataBar" priority="952">
      <dataBar>
        <cfvo type="min"/>
        <cfvo type="max"/>
        <color rgb="FF628DC4"/>
      </dataBar>
    </cfRule>
  </conditionalFormatting>
  <conditionalFormatting sqref="BV148:BV150">
    <cfRule type="dataBar" priority="1021">
      <dataBar>
        <cfvo type="min"/>
        <cfvo type="max"/>
        <color rgb="FF628DC4"/>
      </dataBar>
    </cfRule>
  </conditionalFormatting>
  <conditionalFormatting sqref="BV156:BV162">
    <cfRule type="dataBar" priority="1090">
      <dataBar>
        <cfvo type="min"/>
        <cfvo type="max"/>
        <color rgb="FF628DC4"/>
      </dataBar>
    </cfRule>
  </conditionalFormatting>
  <conditionalFormatting sqref="BV168:BV175">
    <cfRule type="dataBar" priority="1159">
      <dataBar>
        <cfvo type="min"/>
        <cfvo type="max"/>
        <color rgb="FF628DC4"/>
      </dataBar>
    </cfRule>
  </conditionalFormatting>
  <conditionalFormatting sqref="BV181:BV184">
    <cfRule type="dataBar" priority="1228">
      <dataBar>
        <cfvo type="min"/>
        <cfvo type="max"/>
        <color rgb="FF628DC4"/>
      </dataBar>
    </cfRule>
  </conditionalFormatting>
  <conditionalFormatting sqref="BV190:BV192">
    <cfRule type="dataBar" priority="1297">
      <dataBar>
        <cfvo type="min"/>
        <cfvo type="max"/>
        <color rgb="FF628DC4"/>
      </dataBar>
    </cfRule>
  </conditionalFormatting>
  <conditionalFormatting sqref="BV198:BV204">
    <cfRule type="dataBar" priority="1366">
      <dataBar>
        <cfvo type="min"/>
        <cfvo type="max"/>
        <color rgb="FF628DC4"/>
      </dataBar>
    </cfRule>
  </conditionalFormatting>
  <conditionalFormatting sqref="BV210:BV212">
    <cfRule type="dataBar" priority="1435">
      <dataBar>
        <cfvo type="min"/>
        <cfvo type="max"/>
        <color rgb="FF628DC4"/>
      </dataBar>
    </cfRule>
  </conditionalFormatting>
  <conditionalFormatting sqref="BV218:BV226">
    <cfRule type="dataBar" priority="1504">
      <dataBar>
        <cfvo type="min"/>
        <cfvo type="max"/>
        <color rgb="FF628DC4"/>
      </dataBar>
    </cfRule>
  </conditionalFormatting>
  <conditionalFormatting sqref="BV232:BV240">
    <cfRule type="dataBar" priority="1573">
      <dataBar>
        <cfvo type="min"/>
        <cfvo type="max"/>
        <color rgb="FF628DC4"/>
      </dataBar>
    </cfRule>
  </conditionalFormatting>
  <conditionalFormatting sqref="BV246:BV254">
    <cfRule type="dataBar" priority="1642">
      <dataBar>
        <cfvo type="min"/>
        <cfvo type="max"/>
        <color rgb="FF628DC4"/>
      </dataBar>
    </cfRule>
  </conditionalFormatting>
  <conditionalFormatting sqref="BV260:BV268">
    <cfRule type="dataBar" priority="1711">
      <dataBar>
        <cfvo type="min"/>
        <cfvo type="max"/>
        <color rgb="FF628DC4"/>
      </dataBar>
    </cfRule>
  </conditionalFormatting>
  <conditionalFormatting sqref="BV274:BV276">
    <cfRule type="dataBar" priority="1780">
      <dataBar>
        <cfvo type="min"/>
        <cfvo type="max"/>
        <color rgb="FF628DC4"/>
      </dataBar>
    </cfRule>
  </conditionalFormatting>
  <conditionalFormatting sqref="BV282:BV287">
    <cfRule type="dataBar" priority="1849">
      <dataBar>
        <cfvo type="min"/>
        <cfvo type="max"/>
        <color rgb="FF628DC4"/>
      </dataBar>
    </cfRule>
  </conditionalFormatting>
  <conditionalFormatting sqref="BV293:BV300">
    <cfRule type="dataBar" priority="1918">
      <dataBar>
        <cfvo type="min"/>
        <cfvo type="max"/>
        <color rgb="FF628DC4"/>
      </dataBar>
    </cfRule>
  </conditionalFormatting>
  <conditionalFormatting sqref="BV306:BV313">
    <cfRule type="dataBar" priority="1987">
      <dataBar>
        <cfvo type="min"/>
        <cfvo type="max"/>
        <color rgb="FF628DC4"/>
      </dataBar>
    </cfRule>
  </conditionalFormatting>
  <conditionalFormatting sqref="BW6:BW8">
    <cfRule type="dataBar" priority="56">
      <dataBar>
        <cfvo type="min"/>
        <cfvo type="max"/>
        <color rgb="FFFFB628"/>
      </dataBar>
    </cfRule>
  </conditionalFormatting>
  <conditionalFormatting sqref="BW14:BW16">
    <cfRule type="dataBar" priority="125">
      <dataBar>
        <cfvo type="min"/>
        <cfvo type="max"/>
        <color rgb="FFFFB628"/>
      </dataBar>
    </cfRule>
  </conditionalFormatting>
  <conditionalFormatting sqref="BW22:BW24">
    <cfRule type="dataBar" priority="194">
      <dataBar>
        <cfvo type="min"/>
        <cfvo type="max"/>
        <color rgb="FFFFB628"/>
      </dataBar>
    </cfRule>
  </conditionalFormatting>
  <conditionalFormatting sqref="BW30:BW36">
    <cfRule type="dataBar" priority="263">
      <dataBar>
        <cfvo type="min"/>
        <cfvo type="max"/>
        <color rgb="FFFFB628"/>
      </dataBar>
    </cfRule>
  </conditionalFormatting>
  <conditionalFormatting sqref="BW42:BW49">
    <cfRule type="dataBar" priority="332">
      <dataBar>
        <cfvo type="min"/>
        <cfvo type="max"/>
        <color rgb="FFFFB628"/>
      </dataBar>
    </cfRule>
  </conditionalFormatting>
  <conditionalFormatting sqref="BW55:BW58">
    <cfRule type="dataBar" priority="401">
      <dataBar>
        <cfvo type="min"/>
        <cfvo type="max"/>
        <color rgb="FFFFB628"/>
      </dataBar>
    </cfRule>
  </conditionalFormatting>
  <conditionalFormatting sqref="BW64:BW66">
    <cfRule type="dataBar" priority="470">
      <dataBar>
        <cfvo type="min"/>
        <cfvo type="max"/>
        <color rgb="FFFFB628"/>
      </dataBar>
    </cfRule>
  </conditionalFormatting>
  <conditionalFormatting sqref="BW72:BW78">
    <cfRule type="dataBar" priority="539">
      <dataBar>
        <cfvo type="min"/>
        <cfvo type="max"/>
        <color rgb="FFFFB628"/>
      </dataBar>
    </cfRule>
  </conditionalFormatting>
  <conditionalFormatting sqref="BW84:BW91">
    <cfRule type="dataBar" priority="608">
      <dataBar>
        <cfvo type="min"/>
        <cfvo type="max"/>
        <color rgb="FFFFB628"/>
      </dataBar>
    </cfRule>
  </conditionalFormatting>
  <conditionalFormatting sqref="BW97:BW100">
    <cfRule type="dataBar" priority="677">
      <dataBar>
        <cfvo type="min"/>
        <cfvo type="max"/>
        <color rgb="FFFFB628"/>
      </dataBar>
    </cfRule>
  </conditionalFormatting>
  <conditionalFormatting sqref="BW106:BW108">
    <cfRule type="dataBar" priority="746">
      <dataBar>
        <cfvo type="min"/>
        <cfvo type="max"/>
        <color rgb="FFFFB628"/>
      </dataBar>
    </cfRule>
  </conditionalFormatting>
  <conditionalFormatting sqref="BW114:BW120">
    <cfRule type="dataBar" priority="815">
      <dataBar>
        <cfvo type="min"/>
        <cfvo type="max"/>
        <color rgb="FFFFB628"/>
      </dataBar>
    </cfRule>
  </conditionalFormatting>
  <conditionalFormatting sqref="BW126:BW133">
    <cfRule type="dataBar" priority="884">
      <dataBar>
        <cfvo type="min"/>
        <cfvo type="max"/>
        <color rgb="FFFFB628"/>
      </dataBar>
    </cfRule>
  </conditionalFormatting>
  <conditionalFormatting sqref="BW139:BW142">
    <cfRule type="dataBar" priority="953">
      <dataBar>
        <cfvo type="min"/>
        <cfvo type="max"/>
        <color rgb="FFFFB628"/>
      </dataBar>
    </cfRule>
  </conditionalFormatting>
  <conditionalFormatting sqref="BW148:BW150">
    <cfRule type="dataBar" priority="1022">
      <dataBar>
        <cfvo type="min"/>
        <cfvo type="max"/>
        <color rgb="FFFFB628"/>
      </dataBar>
    </cfRule>
  </conditionalFormatting>
  <conditionalFormatting sqref="BW156:BW162">
    <cfRule type="dataBar" priority="1091">
      <dataBar>
        <cfvo type="min"/>
        <cfvo type="max"/>
        <color rgb="FFFFB628"/>
      </dataBar>
    </cfRule>
  </conditionalFormatting>
  <conditionalFormatting sqref="BW168:BW175">
    <cfRule type="dataBar" priority="1160">
      <dataBar>
        <cfvo type="min"/>
        <cfvo type="max"/>
        <color rgb="FFFFB628"/>
      </dataBar>
    </cfRule>
  </conditionalFormatting>
  <conditionalFormatting sqref="BW181:BW184">
    <cfRule type="dataBar" priority="1229">
      <dataBar>
        <cfvo type="min"/>
        <cfvo type="max"/>
        <color rgb="FFFFB628"/>
      </dataBar>
    </cfRule>
  </conditionalFormatting>
  <conditionalFormatting sqref="BW190:BW192">
    <cfRule type="dataBar" priority="1298">
      <dataBar>
        <cfvo type="min"/>
        <cfvo type="max"/>
        <color rgb="FFFFB628"/>
      </dataBar>
    </cfRule>
  </conditionalFormatting>
  <conditionalFormatting sqref="BW198:BW204">
    <cfRule type="dataBar" priority="1367">
      <dataBar>
        <cfvo type="min"/>
        <cfvo type="max"/>
        <color rgb="FFFFB628"/>
      </dataBar>
    </cfRule>
  </conditionalFormatting>
  <conditionalFormatting sqref="BW210:BW212">
    <cfRule type="dataBar" priority="1436">
      <dataBar>
        <cfvo type="min"/>
        <cfvo type="max"/>
        <color rgb="FFFFB628"/>
      </dataBar>
    </cfRule>
  </conditionalFormatting>
  <conditionalFormatting sqref="BW218:BW226">
    <cfRule type="dataBar" priority="1505">
      <dataBar>
        <cfvo type="min"/>
        <cfvo type="max"/>
        <color rgb="FFFFB628"/>
      </dataBar>
    </cfRule>
  </conditionalFormatting>
  <conditionalFormatting sqref="BW232:BW240">
    <cfRule type="dataBar" priority="1574">
      <dataBar>
        <cfvo type="min"/>
        <cfvo type="max"/>
        <color rgb="FFFFB628"/>
      </dataBar>
    </cfRule>
  </conditionalFormatting>
  <conditionalFormatting sqref="BW246:BW254">
    <cfRule type="dataBar" priority="1643">
      <dataBar>
        <cfvo type="min"/>
        <cfvo type="max"/>
        <color rgb="FFFFB628"/>
      </dataBar>
    </cfRule>
  </conditionalFormatting>
  <conditionalFormatting sqref="BW260:BW268">
    <cfRule type="dataBar" priority="1712">
      <dataBar>
        <cfvo type="min"/>
        <cfvo type="max"/>
        <color rgb="FFFFB628"/>
      </dataBar>
    </cfRule>
  </conditionalFormatting>
  <conditionalFormatting sqref="BW274:BW276">
    <cfRule type="dataBar" priority="1781">
      <dataBar>
        <cfvo type="min"/>
        <cfvo type="max"/>
        <color rgb="FFFFB628"/>
      </dataBar>
    </cfRule>
  </conditionalFormatting>
  <conditionalFormatting sqref="BW282:BW287">
    <cfRule type="dataBar" priority="1850">
      <dataBar>
        <cfvo type="min"/>
        <cfvo type="max"/>
        <color rgb="FFFFB628"/>
      </dataBar>
    </cfRule>
  </conditionalFormatting>
  <conditionalFormatting sqref="BW293:BW300">
    <cfRule type="dataBar" priority="1919">
      <dataBar>
        <cfvo type="min"/>
        <cfvo type="max"/>
        <color rgb="FFFFB628"/>
      </dataBar>
    </cfRule>
  </conditionalFormatting>
  <conditionalFormatting sqref="BW306:BW313">
    <cfRule type="dataBar" priority="1988">
      <dataBar>
        <cfvo type="min"/>
        <cfvo type="max"/>
        <color rgb="FFFFB628"/>
      </dataBar>
    </cfRule>
  </conditionalFormatting>
  <conditionalFormatting sqref="BX6:BX8">
    <cfRule type="dataBar" priority="57">
      <dataBar>
        <cfvo type="min"/>
        <cfvo type="max"/>
        <color rgb="FFF08D5B"/>
      </dataBar>
    </cfRule>
  </conditionalFormatting>
  <conditionalFormatting sqref="BX14:BX16">
    <cfRule type="dataBar" priority="126">
      <dataBar>
        <cfvo type="min"/>
        <cfvo type="max"/>
        <color rgb="FFF08D5B"/>
      </dataBar>
    </cfRule>
  </conditionalFormatting>
  <conditionalFormatting sqref="BX22:BX24">
    <cfRule type="dataBar" priority="195">
      <dataBar>
        <cfvo type="min"/>
        <cfvo type="max"/>
        <color rgb="FFF08D5B"/>
      </dataBar>
    </cfRule>
  </conditionalFormatting>
  <conditionalFormatting sqref="BX30:BX36">
    <cfRule type="dataBar" priority="264">
      <dataBar>
        <cfvo type="min"/>
        <cfvo type="max"/>
        <color rgb="FFF08D5B"/>
      </dataBar>
    </cfRule>
  </conditionalFormatting>
  <conditionalFormatting sqref="BX42:BX49">
    <cfRule type="dataBar" priority="333">
      <dataBar>
        <cfvo type="min"/>
        <cfvo type="max"/>
        <color rgb="FFF08D5B"/>
      </dataBar>
    </cfRule>
  </conditionalFormatting>
  <conditionalFormatting sqref="BX55:BX58">
    <cfRule type="dataBar" priority="402">
      <dataBar>
        <cfvo type="min"/>
        <cfvo type="max"/>
        <color rgb="FFF08D5B"/>
      </dataBar>
    </cfRule>
  </conditionalFormatting>
  <conditionalFormatting sqref="BX64:BX66">
    <cfRule type="dataBar" priority="471">
      <dataBar>
        <cfvo type="min"/>
        <cfvo type="max"/>
        <color rgb="FFF08D5B"/>
      </dataBar>
    </cfRule>
  </conditionalFormatting>
  <conditionalFormatting sqref="BX72:BX78">
    <cfRule type="dataBar" priority="540">
      <dataBar>
        <cfvo type="min"/>
        <cfvo type="max"/>
        <color rgb="FFF08D5B"/>
      </dataBar>
    </cfRule>
  </conditionalFormatting>
  <conditionalFormatting sqref="BX84:BX91">
    <cfRule type="dataBar" priority="609">
      <dataBar>
        <cfvo type="min"/>
        <cfvo type="max"/>
        <color rgb="FFF08D5B"/>
      </dataBar>
    </cfRule>
  </conditionalFormatting>
  <conditionalFormatting sqref="BX97:BX100">
    <cfRule type="dataBar" priority="678">
      <dataBar>
        <cfvo type="min"/>
        <cfvo type="max"/>
        <color rgb="FFF08D5B"/>
      </dataBar>
    </cfRule>
  </conditionalFormatting>
  <conditionalFormatting sqref="BX106:BX108">
    <cfRule type="dataBar" priority="747">
      <dataBar>
        <cfvo type="min"/>
        <cfvo type="max"/>
        <color rgb="FFF08D5B"/>
      </dataBar>
    </cfRule>
  </conditionalFormatting>
  <conditionalFormatting sqref="BX114:BX120">
    <cfRule type="dataBar" priority="816">
      <dataBar>
        <cfvo type="min"/>
        <cfvo type="max"/>
        <color rgb="FFF08D5B"/>
      </dataBar>
    </cfRule>
  </conditionalFormatting>
  <conditionalFormatting sqref="BX126:BX133">
    <cfRule type="dataBar" priority="885">
      <dataBar>
        <cfvo type="min"/>
        <cfvo type="max"/>
        <color rgb="FFF08D5B"/>
      </dataBar>
    </cfRule>
  </conditionalFormatting>
  <conditionalFormatting sqref="BX139:BX142">
    <cfRule type="dataBar" priority="954">
      <dataBar>
        <cfvo type="min"/>
        <cfvo type="max"/>
        <color rgb="FFF08D5B"/>
      </dataBar>
    </cfRule>
  </conditionalFormatting>
  <conditionalFormatting sqref="BX148:BX150">
    <cfRule type="dataBar" priority="1023">
      <dataBar>
        <cfvo type="min"/>
        <cfvo type="max"/>
        <color rgb="FFF08D5B"/>
      </dataBar>
    </cfRule>
  </conditionalFormatting>
  <conditionalFormatting sqref="BX156:BX162">
    <cfRule type="dataBar" priority="1092">
      <dataBar>
        <cfvo type="min"/>
        <cfvo type="max"/>
        <color rgb="FFF08D5B"/>
      </dataBar>
    </cfRule>
  </conditionalFormatting>
  <conditionalFormatting sqref="BX168:BX175">
    <cfRule type="dataBar" priority="1161">
      <dataBar>
        <cfvo type="min"/>
        <cfvo type="max"/>
        <color rgb="FFF08D5B"/>
      </dataBar>
    </cfRule>
  </conditionalFormatting>
  <conditionalFormatting sqref="BX181:BX184">
    <cfRule type="dataBar" priority="1230">
      <dataBar>
        <cfvo type="min"/>
        <cfvo type="max"/>
        <color rgb="FFF08D5B"/>
      </dataBar>
    </cfRule>
  </conditionalFormatting>
  <conditionalFormatting sqref="BX190:BX192">
    <cfRule type="dataBar" priority="1299">
      <dataBar>
        <cfvo type="min"/>
        <cfvo type="max"/>
        <color rgb="FFF08D5B"/>
      </dataBar>
    </cfRule>
  </conditionalFormatting>
  <conditionalFormatting sqref="BX198:BX204">
    <cfRule type="dataBar" priority="1368">
      <dataBar>
        <cfvo type="min"/>
        <cfvo type="max"/>
        <color rgb="FFF08D5B"/>
      </dataBar>
    </cfRule>
  </conditionalFormatting>
  <conditionalFormatting sqref="BX210:BX212">
    <cfRule type="dataBar" priority="1437">
      <dataBar>
        <cfvo type="min"/>
        <cfvo type="max"/>
        <color rgb="FFF08D5B"/>
      </dataBar>
    </cfRule>
  </conditionalFormatting>
  <conditionalFormatting sqref="BX218:BX226">
    <cfRule type="dataBar" priority="1506">
      <dataBar>
        <cfvo type="min"/>
        <cfvo type="max"/>
        <color rgb="FFF08D5B"/>
      </dataBar>
    </cfRule>
  </conditionalFormatting>
  <conditionalFormatting sqref="BX232:BX240">
    <cfRule type="dataBar" priority="1575">
      <dataBar>
        <cfvo type="min"/>
        <cfvo type="max"/>
        <color rgb="FFF08D5B"/>
      </dataBar>
    </cfRule>
  </conditionalFormatting>
  <conditionalFormatting sqref="BX246:BX254">
    <cfRule type="dataBar" priority="1644">
      <dataBar>
        <cfvo type="min"/>
        <cfvo type="max"/>
        <color rgb="FFF08D5B"/>
      </dataBar>
    </cfRule>
  </conditionalFormatting>
  <conditionalFormatting sqref="BX260:BX268">
    <cfRule type="dataBar" priority="1713">
      <dataBar>
        <cfvo type="min"/>
        <cfvo type="max"/>
        <color rgb="FFF08D5B"/>
      </dataBar>
    </cfRule>
  </conditionalFormatting>
  <conditionalFormatting sqref="BX274:BX276">
    <cfRule type="dataBar" priority="1782">
      <dataBar>
        <cfvo type="min"/>
        <cfvo type="max"/>
        <color rgb="FFF08D5B"/>
      </dataBar>
    </cfRule>
  </conditionalFormatting>
  <conditionalFormatting sqref="BX282:BX287">
    <cfRule type="dataBar" priority="1851">
      <dataBar>
        <cfvo type="min"/>
        <cfvo type="max"/>
        <color rgb="FFF08D5B"/>
      </dataBar>
    </cfRule>
  </conditionalFormatting>
  <conditionalFormatting sqref="BX293:BX300">
    <cfRule type="dataBar" priority="1920">
      <dataBar>
        <cfvo type="min"/>
        <cfvo type="max"/>
        <color rgb="FFF08D5B"/>
      </dataBar>
    </cfRule>
  </conditionalFormatting>
  <conditionalFormatting sqref="BX306:BX313">
    <cfRule type="dataBar" priority="1989">
      <dataBar>
        <cfvo type="min"/>
        <cfvo type="max"/>
        <color rgb="FFF08D5B"/>
      </dataBar>
    </cfRule>
  </conditionalFormatting>
  <conditionalFormatting sqref="BZ6:BZ8">
    <cfRule type="dataBar" priority="58">
      <dataBar>
        <cfvo type="min"/>
        <cfvo type="max"/>
        <color rgb="FF628DC4"/>
      </dataBar>
    </cfRule>
  </conditionalFormatting>
  <conditionalFormatting sqref="BZ14:BZ16">
    <cfRule type="dataBar" priority="127">
      <dataBar>
        <cfvo type="min"/>
        <cfvo type="max"/>
        <color rgb="FF628DC4"/>
      </dataBar>
    </cfRule>
  </conditionalFormatting>
  <conditionalFormatting sqref="BZ22:BZ24">
    <cfRule type="dataBar" priority="196">
      <dataBar>
        <cfvo type="min"/>
        <cfvo type="max"/>
        <color rgb="FF628DC4"/>
      </dataBar>
    </cfRule>
  </conditionalFormatting>
  <conditionalFormatting sqref="BZ30:BZ36">
    <cfRule type="dataBar" priority="265">
      <dataBar>
        <cfvo type="min"/>
        <cfvo type="max"/>
        <color rgb="FF628DC4"/>
      </dataBar>
    </cfRule>
  </conditionalFormatting>
  <conditionalFormatting sqref="BZ42:BZ49">
    <cfRule type="dataBar" priority="334">
      <dataBar>
        <cfvo type="min"/>
        <cfvo type="max"/>
        <color rgb="FF628DC4"/>
      </dataBar>
    </cfRule>
  </conditionalFormatting>
  <conditionalFormatting sqref="BZ55:BZ58">
    <cfRule type="dataBar" priority="403">
      <dataBar>
        <cfvo type="min"/>
        <cfvo type="max"/>
        <color rgb="FF628DC4"/>
      </dataBar>
    </cfRule>
  </conditionalFormatting>
  <conditionalFormatting sqref="BZ64:BZ66">
    <cfRule type="dataBar" priority="472">
      <dataBar>
        <cfvo type="min"/>
        <cfvo type="max"/>
        <color rgb="FF628DC4"/>
      </dataBar>
    </cfRule>
  </conditionalFormatting>
  <conditionalFormatting sqref="BZ72:BZ78">
    <cfRule type="dataBar" priority="541">
      <dataBar>
        <cfvo type="min"/>
        <cfvo type="max"/>
        <color rgb="FF628DC4"/>
      </dataBar>
    </cfRule>
  </conditionalFormatting>
  <conditionalFormatting sqref="BZ84:BZ91">
    <cfRule type="dataBar" priority="610">
      <dataBar>
        <cfvo type="min"/>
        <cfvo type="max"/>
        <color rgb="FF628DC4"/>
      </dataBar>
    </cfRule>
  </conditionalFormatting>
  <conditionalFormatting sqref="BZ97:BZ100">
    <cfRule type="dataBar" priority="679">
      <dataBar>
        <cfvo type="min"/>
        <cfvo type="max"/>
        <color rgb="FF628DC4"/>
      </dataBar>
    </cfRule>
  </conditionalFormatting>
  <conditionalFormatting sqref="BZ106:BZ108">
    <cfRule type="dataBar" priority="748">
      <dataBar>
        <cfvo type="min"/>
        <cfvo type="max"/>
        <color rgb="FF628DC4"/>
      </dataBar>
    </cfRule>
  </conditionalFormatting>
  <conditionalFormatting sqref="BZ114:BZ120">
    <cfRule type="dataBar" priority="817">
      <dataBar>
        <cfvo type="min"/>
        <cfvo type="max"/>
        <color rgb="FF628DC4"/>
      </dataBar>
    </cfRule>
  </conditionalFormatting>
  <conditionalFormatting sqref="BZ126:BZ133">
    <cfRule type="dataBar" priority="886">
      <dataBar>
        <cfvo type="min"/>
        <cfvo type="max"/>
        <color rgb="FF628DC4"/>
      </dataBar>
    </cfRule>
  </conditionalFormatting>
  <conditionalFormatting sqref="BZ139:BZ142">
    <cfRule type="dataBar" priority="955">
      <dataBar>
        <cfvo type="min"/>
        <cfvo type="max"/>
        <color rgb="FF628DC4"/>
      </dataBar>
    </cfRule>
  </conditionalFormatting>
  <conditionalFormatting sqref="BZ148:BZ150">
    <cfRule type="dataBar" priority="1024">
      <dataBar>
        <cfvo type="min"/>
        <cfvo type="max"/>
        <color rgb="FF628DC4"/>
      </dataBar>
    </cfRule>
  </conditionalFormatting>
  <conditionalFormatting sqref="BZ156:BZ162">
    <cfRule type="dataBar" priority="1093">
      <dataBar>
        <cfvo type="min"/>
        <cfvo type="max"/>
        <color rgb="FF628DC4"/>
      </dataBar>
    </cfRule>
  </conditionalFormatting>
  <conditionalFormatting sqref="BZ168:BZ175">
    <cfRule type="dataBar" priority="1162">
      <dataBar>
        <cfvo type="min"/>
        <cfvo type="max"/>
        <color rgb="FF628DC4"/>
      </dataBar>
    </cfRule>
  </conditionalFormatting>
  <conditionalFormatting sqref="BZ181:BZ184">
    <cfRule type="dataBar" priority="1231">
      <dataBar>
        <cfvo type="min"/>
        <cfvo type="max"/>
        <color rgb="FF628DC4"/>
      </dataBar>
    </cfRule>
  </conditionalFormatting>
  <conditionalFormatting sqref="BZ190:BZ192">
    <cfRule type="dataBar" priority="1300">
      <dataBar>
        <cfvo type="min"/>
        <cfvo type="max"/>
        <color rgb="FF628DC4"/>
      </dataBar>
    </cfRule>
  </conditionalFormatting>
  <conditionalFormatting sqref="BZ198:BZ204">
    <cfRule type="dataBar" priority="1369">
      <dataBar>
        <cfvo type="min"/>
        <cfvo type="max"/>
        <color rgb="FF628DC4"/>
      </dataBar>
    </cfRule>
  </conditionalFormatting>
  <conditionalFormatting sqref="BZ210:BZ212">
    <cfRule type="dataBar" priority="1438">
      <dataBar>
        <cfvo type="min"/>
        <cfvo type="max"/>
        <color rgb="FF628DC4"/>
      </dataBar>
    </cfRule>
  </conditionalFormatting>
  <conditionalFormatting sqref="BZ218:BZ226">
    <cfRule type="dataBar" priority="1507">
      <dataBar>
        <cfvo type="min"/>
        <cfvo type="max"/>
        <color rgb="FF628DC4"/>
      </dataBar>
    </cfRule>
  </conditionalFormatting>
  <conditionalFormatting sqref="BZ232:BZ240">
    <cfRule type="dataBar" priority="1576">
      <dataBar>
        <cfvo type="min"/>
        <cfvo type="max"/>
        <color rgb="FF628DC4"/>
      </dataBar>
    </cfRule>
  </conditionalFormatting>
  <conditionalFormatting sqref="BZ246:BZ254">
    <cfRule type="dataBar" priority="1645">
      <dataBar>
        <cfvo type="min"/>
        <cfvo type="max"/>
        <color rgb="FF628DC4"/>
      </dataBar>
    </cfRule>
  </conditionalFormatting>
  <conditionalFormatting sqref="BZ260:BZ268">
    <cfRule type="dataBar" priority="1714">
      <dataBar>
        <cfvo type="min"/>
        <cfvo type="max"/>
        <color rgb="FF628DC4"/>
      </dataBar>
    </cfRule>
  </conditionalFormatting>
  <conditionalFormatting sqref="BZ274:BZ276">
    <cfRule type="dataBar" priority="1783">
      <dataBar>
        <cfvo type="min"/>
        <cfvo type="max"/>
        <color rgb="FF628DC4"/>
      </dataBar>
    </cfRule>
  </conditionalFormatting>
  <conditionalFormatting sqref="BZ282:BZ287">
    <cfRule type="dataBar" priority="1852">
      <dataBar>
        <cfvo type="min"/>
        <cfvo type="max"/>
        <color rgb="FF628DC4"/>
      </dataBar>
    </cfRule>
  </conditionalFormatting>
  <conditionalFormatting sqref="BZ293:BZ300">
    <cfRule type="dataBar" priority="1921">
      <dataBar>
        <cfvo type="min"/>
        <cfvo type="max"/>
        <color rgb="FF628DC4"/>
      </dataBar>
    </cfRule>
  </conditionalFormatting>
  <conditionalFormatting sqref="BZ306:BZ313">
    <cfRule type="dataBar" priority="1990">
      <dataBar>
        <cfvo type="min"/>
        <cfvo type="max"/>
        <color rgb="FF628DC4"/>
      </dataBar>
    </cfRule>
  </conditionalFormatting>
  <conditionalFormatting sqref="CA6:CA8">
    <cfRule type="dataBar" priority="59">
      <dataBar>
        <cfvo type="min"/>
        <cfvo type="max"/>
        <color rgb="FFFFB628"/>
      </dataBar>
    </cfRule>
  </conditionalFormatting>
  <conditionalFormatting sqref="CA14:CA16">
    <cfRule type="dataBar" priority="128">
      <dataBar>
        <cfvo type="min"/>
        <cfvo type="max"/>
        <color rgb="FFFFB628"/>
      </dataBar>
    </cfRule>
  </conditionalFormatting>
  <conditionalFormatting sqref="CA22:CA24">
    <cfRule type="dataBar" priority="197">
      <dataBar>
        <cfvo type="min"/>
        <cfvo type="max"/>
        <color rgb="FFFFB628"/>
      </dataBar>
    </cfRule>
  </conditionalFormatting>
  <conditionalFormatting sqref="CA30:CA36">
    <cfRule type="dataBar" priority="266">
      <dataBar>
        <cfvo type="min"/>
        <cfvo type="max"/>
        <color rgb="FFFFB628"/>
      </dataBar>
    </cfRule>
  </conditionalFormatting>
  <conditionalFormatting sqref="CA42:CA49">
    <cfRule type="dataBar" priority="335">
      <dataBar>
        <cfvo type="min"/>
        <cfvo type="max"/>
        <color rgb="FFFFB628"/>
      </dataBar>
    </cfRule>
  </conditionalFormatting>
  <conditionalFormatting sqref="CA55:CA58">
    <cfRule type="dataBar" priority="404">
      <dataBar>
        <cfvo type="min"/>
        <cfvo type="max"/>
        <color rgb="FFFFB628"/>
      </dataBar>
    </cfRule>
  </conditionalFormatting>
  <conditionalFormatting sqref="CA64:CA66">
    <cfRule type="dataBar" priority="473">
      <dataBar>
        <cfvo type="min"/>
        <cfvo type="max"/>
        <color rgb="FFFFB628"/>
      </dataBar>
    </cfRule>
  </conditionalFormatting>
  <conditionalFormatting sqref="CA72:CA78">
    <cfRule type="dataBar" priority="542">
      <dataBar>
        <cfvo type="min"/>
        <cfvo type="max"/>
        <color rgb="FFFFB628"/>
      </dataBar>
    </cfRule>
  </conditionalFormatting>
  <conditionalFormatting sqref="CA84:CA91">
    <cfRule type="dataBar" priority="611">
      <dataBar>
        <cfvo type="min"/>
        <cfvo type="max"/>
        <color rgb="FFFFB628"/>
      </dataBar>
    </cfRule>
  </conditionalFormatting>
  <conditionalFormatting sqref="CA97:CA100">
    <cfRule type="dataBar" priority="680">
      <dataBar>
        <cfvo type="min"/>
        <cfvo type="max"/>
        <color rgb="FFFFB628"/>
      </dataBar>
    </cfRule>
  </conditionalFormatting>
  <conditionalFormatting sqref="CA106:CA108">
    <cfRule type="dataBar" priority="749">
      <dataBar>
        <cfvo type="min"/>
        <cfvo type="max"/>
        <color rgb="FFFFB628"/>
      </dataBar>
    </cfRule>
  </conditionalFormatting>
  <conditionalFormatting sqref="CA114:CA120">
    <cfRule type="dataBar" priority="818">
      <dataBar>
        <cfvo type="min"/>
        <cfvo type="max"/>
        <color rgb="FFFFB628"/>
      </dataBar>
    </cfRule>
  </conditionalFormatting>
  <conditionalFormatting sqref="CA126:CA133">
    <cfRule type="dataBar" priority="887">
      <dataBar>
        <cfvo type="min"/>
        <cfvo type="max"/>
        <color rgb="FFFFB628"/>
      </dataBar>
    </cfRule>
  </conditionalFormatting>
  <conditionalFormatting sqref="CA139:CA142">
    <cfRule type="dataBar" priority="956">
      <dataBar>
        <cfvo type="min"/>
        <cfvo type="max"/>
        <color rgb="FFFFB628"/>
      </dataBar>
    </cfRule>
  </conditionalFormatting>
  <conditionalFormatting sqref="CA148:CA150">
    <cfRule type="dataBar" priority="1025">
      <dataBar>
        <cfvo type="min"/>
        <cfvo type="max"/>
        <color rgb="FFFFB628"/>
      </dataBar>
    </cfRule>
  </conditionalFormatting>
  <conditionalFormatting sqref="CA156:CA162">
    <cfRule type="dataBar" priority="1094">
      <dataBar>
        <cfvo type="min"/>
        <cfvo type="max"/>
        <color rgb="FFFFB628"/>
      </dataBar>
    </cfRule>
  </conditionalFormatting>
  <conditionalFormatting sqref="CA168:CA175">
    <cfRule type="dataBar" priority="1163">
      <dataBar>
        <cfvo type="min"/>
        <cfvo type="max"/>
        <color rgb="FFFFB628"/>
      </dataBar>
    </cfRule>
  </conditionalFormatting>
  <conditionalFormatting sqref="CA181:CA184">
    <cfRule type="dataBar" priority="1232">
      <dataBar>
        <cfvo type="min"/>
        <cfvo type="max"/>
        <color rgb="FFFFB628"/>
      </dataBar>
    </cfRule>
  </conditionalFormatting>
  <conditionalFormatting sqref="CA190:CA192">
    <cfRule type="dataBar" priority="1301">
      <dataBar>
        <cfvo type="min"/>
        <cfvo type="max"/>
        <color rgb="FFFFB628"/>
      </dataBar>
    </cfRule>
  </conditionalFormatting>
  <conditionalFormatting sqref="CA198:CA204">
    <cfRule type="dataBar" priority="1370">
      <dataBar>
        <cfvo type="min"/>
        <cfvo type="max"/>
        <color rgb="FFFFB628"/>
      </dataBar>
    </cfRule>
  </conditionalFormatting>
  <conditionalFormatting sqref="CA210:CA212">
    <cfRule type="dataBar" priority="1439">
      <dataBar>
        <cfvo type="min"/>
        <cfvo type="max"/>
        <color rgb="FFFFB628"/>
      </dataBar>
    </cfRule>
  </conditionalFormatting>
  <conditionalFormatting sqref="CA218:CA226">
    <cfRule type="dataBar" priority="1508">
      <dataBar>
        <cfvo type="min"/>
        <cfvo type="max"/>
        <color rgb="FFFFB628"/>
      </dataBar>
    </cfRule>
  </conditionalFormatting>
  <conditionalFormatting sqref="CA232:CA240">
    <cfRule type="dataBar" priority="1577">
      <dataBar>
        <cfvo type="min"/>
        <cfvo type="max"/>
        <color rgb="FFFFB628"/>
      </dataBar>
    </cfRule>
  </conditionalFormatting>
  <conditionalFormatting sqref="CA246:CA254">
    <cfRule type="dataBar" priority="1646">
      <dataBar>
        <cfvo type="min"/>
        <cfvo type="max"/>
        <color rgb="FFFFB628"/>
      </dataBar>
    </cfRule>
  </conditionalFormatting>
  <conditionalFormatting sqref="CA260:CA268">
    <cfRule type="dataBar" priority="1715">
      <dataBar>
        <cfvo type="min"/>
        <cfvo type="max"/>
        <color rgb="FFFFB628"/>
      </dataBar>
    </cfRule>
  </conditionalFormatting>
  <conditionalFormatting sqref="CA274:CA276">
    <cfRule type="dataBar" priority="1784">
      <dataBar>
        <cfvo type="min"/>
        <cfvo type="max"/>
        <color rgb="FFFFB628"/>
      </dataBar>
    </cfRule>
  </conditionalFormatting>
  <conditionalFormatting sqref="CA282:CA287">
    <cfRule type="dataBar" priority="1853">
      <dataBar>
        <cfvo type="min"/>
        <cfvo type="max"/>
        <color rgb="FFFFB628"/>
      </dataBar>
    </cfRule>
  </conditionalFormatting>
  <conditionalFormatting sqref="CA293:CA300">
    <cfRule type="dataBar" priority="1922">
      <dataBar>
        <cfvo type="min"/>
        <cfvo type="max"/>
        <color rgb="FFFFB628"/>
      </dataBar>
    </cfRule>
  </conditionalFormatting>
  <conditionalFormatting sqref="CA306:CA313">
    <cfRule type="dataBar" priority="1991">
      <dataBar>
        <cfvo type="min"/>
        <cfvo type="max"/>
        <color rgb="FFFFB628"/>
      </dataBar>
    </cfRule>
  </conditionalFormatting>
  <conditionalFormatting sqref="CB6:CB8">
    <cfRule type="dataBar" priority="60">
      <dataBar>
        <cfvo type="min"/>
        <cfvo type="max"/>
        <color rgb="FFF08D5B"/>
      </dataBar>
    </cfRule>
  </conditionalFormatting>
  <conditionalFormatting sqref="CB14:CB16">
    <cfRule type="dataBar" priority="129">
      <dataBar>
        <cfvo type="min"/>
        <cfvo type="max"/>
        <color rgb="FFF08D5B"/>
      </dataBar>
    </cfRule>
  </conditionalFormatting>
  <conditionalFormatting sqref="CB22:CB24">
    <cfRule type="dataBar" priority="198">
      <dataBar>
        <cfvo type="min"/>
        <cfvo type="max"/>
        <color rgb="FFF08D5B"/>
      </dataBar>
    </cfRule>
  </conditionalFormatting>
  <conditionalFormatting sqref="CB30:CB36">
    <cfRule type="dataBar" priority="267">
      <dataBar>
        <cfvo type="min"/>
        <cfvo type="max"/>
        <color rgb="FFF08D5B"/>
      </dataBar>
    </cfRule>
  </conditionalFormatting>
  <conditionalFormatting sqref="CB42:CB49">
    <cfRule type="dataBar" priority="336">
      <dataBar>
        <cfvo type="min"/>
        <cfvo type="max"/>
        <color rgb="FFF08D5B"/>
      </dataBar>
    </cfRule>
  </conditionalFormatting>
  <conditionalFormatting sqref="CB55:CB58">
    <cfRule type="dataBar" priority="405">
      <dataBar>
        <cfvo type="min"/>
        <cfvo type="max"/>
        <color rgb="FFF08D5B"/>
      </dataBar>
    </cfRule>
  </conditionalFormatting>
  <conditionalFormatting sqref="CB64:CB66">
    <cfRule type="dataBar" priority="474">
      <dataBar>
        <cfvo type="min"/>
        <cfvo type="max"/>
        <color rgb="FFF08D5B"/>
      </dataBar>
    </cfRule>
  </conditionalFormatting>
  <conditionalFormatting sqref="CB72:CB78">
    <cfRule type="dataBar" priority="543">
      <dataBar>
        <cfvo type="min"/>
        <cfvo type="max"/>
        <color rgb="FFF08D5B"/>
      </dataBar>
    </cfRule>
  </conditionalFormatting>
  <conditionalFormatting sqref="CB84:CB91">
    <cfRule type="dataBar" priority="612">
      <dataBar>
        <cfvo type="min"/>
        <cfvo type="max"/>
        <color rgb="FFF08D5B"/>
      </dataBar>
    </cfRule>
  </conditionalFormatting>
  <conditionalFormatting sqref="CB97:CB100">
    <cfRule type="dataBar" priority="681">
      <dataBar>
        <cfvo type="min"/>
        <cfvo type="max"/>
        <color rgb="FFF08D5B"/>
      </dataBar>
    </cfRule>
  </conditionalFormatting>
  <conditionalFormatting sqref="CB106:CB108">
    <cfRule type="dataBar" priority="750">
      <dataBar>
        <cfvo type="min"/>
        <cfvo type="max"/>
        <color rgb="FFF08D5B"/>
      </dataBar>
    </cfRule>
  </conditionalFormatting>
  <conditionalFormatting sqref="CB114:CB120">
    <cfRule type="dataBar" priority="819">
      <dataBar>
        <cfvo type="min"/>
        <cfvo type="max"/>
        <color rgb="FFF08D5B"/>
      </dataBar>
    </cfRule>
  </conditionalFormatting>
  <conditionalFormatting sqref="CB126:CB133">
    <cfRule type="dataBar" priority="888">
      <dataBar>
        <cfvo type="min"/>
        <cfvo type="max"/>
        <color rgb="FFF08D5B"/>
      </dataBar>
    </cfRule>
  </conditionalFormatting>
  <conditionalFormatting sqref="CB139:CB142">
    <cfRule type="dataBar" priority="957">
      <dataBar>
        <cfvo type="min"/>
        <cfvo type="max"/>
        <color rgb="FFF08D5B"/>
      </dataBar>
    </cfRule>
  </conditionalFormatting>
  <conditionalFormatting sqref="CB148:CB150">
    <cfRule type="dataBar" priority="1026">
      <dataBar>
        <cfvo type="min"/>
        <cfvo type="max"/>
        <color rgb="FFF08D5B"/>
      </dataBar>
    </cfRule>
  </conditionalFormatting>
  <conditionalFormatting sqref="CB156:CB162">
    <cfRule type="dataBar" priority="1095">
      <dataBar>
        <cfvo type="min"/>
        <cfvo type="max"/>
        <color rgb="FFF08D5B"/>
      </dataBar>
    </cfRule>
  </conditionalFormatting>
  <conditionalFormatting sqref="CB168:CB175">
    <cfRule type="dataBar" priority="1164">
      <dataBar>
        <cfvo type="min"/>
        <cfvo type="max"/>
        <color rgb="FFF08D5B"/>
      </dataBar>
    </cfRule>
  </conditionalFormatting>
  <conditionalFormatting sqref="CB181:CB184">
    <cfRule type="dataBar" priority="1233">
      <dataBar>
        <cfvo type="min"/>
        <cfvo type="max"/>
        <color rgb="FFF08D5B"/>
      </dataBar>
    </cfRule>
  </conditionalFormatting>
  <conditionalFormatting sqref="CB190:CB192">
    <cfRule type="dataBar" priority="1302">
      <dataBar>
        <cfvo type="min"/>
        <cfvo type="max"/>
        <color rgb="FFF08D5B"/>
      </dataBar>
    </cfRule>
  </conditionalFormatting>
  <conditionalFormatting sqref="CB198:CB204">
    <cfRule type="dataBar" priority="1371">
      <dataBar>
        <cfvo type="min"/>
        <cfvo type="max"/>
        <color rgb="FFF08D5B"/>
      </dataBar>
    </cfRule>
  </conditionalFormatting>
  <conditionalFormatting sqref="CB210:CB212">
    <cfRule type="dataBar" priority="1440">
      <dataBar>
        <cfvo type="min"/>
        <cfvo type="max"/>
        <color rgb="FFF08D5B"/>
      </dataBar>
    </cfRule>
  </conditionalFormatting>
  <conditionalFormatting sqref="CB218:CB226">
    <cfRule type="dataBar" priority="1509">
      <dataBar>
        <cfvo type="min"/>
        <cfvo type="max"/>
        <color rgb="FFF08D5B"/>
      </dataBar>
    </cfRule>
  </conditionalFormatting>
  <conditionalFormatting sqref="CB232:CB240">
    <cfRule type="dataBar" priority="1578">
      <dataBar>
        <cfvo type="min"/>
        <cfvo type="max"/>
        <color rgb="FFF08D5B"/>
      </dataBar>
    </cfRule>
  </conditionalFormatting>
  <conditionalFormatting sqref="CB246:CB254">
    <cfRule type="dataBar" priority="1647">
      <dataBar>
        <cfvo type="min"/>
        <cfvo type="max"/>
        <color rgb="FFF08D5B"/>
      </dataBar>
    </cfRule>
  </conditionalFormatting>
  <conditionalFormatting sqref="CB260:CB268">
    <cfRule type="dataBar" priority="1716">
      <dataBar>
        <cfvo type="min"/>
        <cfvo type="max"/>
        <color rgb="FFF08D5B"/>
      </dataBar>
    </cfRule>
  </conditionalFormatting>
  <conditionalFormatting sqref="CB274:CB276">
    <cfRule type="dataBar" priority="1785">
      <dataBar>
        <cfvo type="min"/>
        <cfvo type="max"/>
        <color rgb="FFF08D5B"/>
      </dataBar>
    </cfRule>
  </conditionalFormatting>
  <conditionalFormatting sqref="CB282:CB287">
    <cfRule type="dataBar" priority="1854">
      <dataBar>
        <cfvo type="min"/>
        <cfvo type="max"/>
        <color rgb="FFF08D5B"/>
      </dataBar>
    </cfRule>
  </conditionalFormatting>
  <conditionalFormatting sqref="CB293:CB300">
    <cfRule type="dataBar" priority="1923">
      <dataBar>
        <cfvo type="min"/>
        <cfvo type="max"/>
        <color rgb="FFF08D5B"/>
      </dataBar>
    </cfRule>
  </conditionalFormatting>
  <conditionalFormatting sqref="CB306:CB313">
    <cfRule type="dataBar" priority="1992">
      <dataBar>
        <cfvo type="min"/>
        <cfvo type="max"/>
        <color rgb="FFF08D5B"/>
      </dataBar>
    </cfRule>
  </conditionalFormatting>
  <conditionalFormatting sqref="CD6:CD8">
    <cfRule type="dataBar" priority="61">
      <dataBar>
        <cfvo type="min"/>
        <cfvo type="max"/>
        <color rgb="FF628DC4"/>
      </dataBar>
    </cfRule>
  </conditionalFormatting>
  <conditionalFormatting sqref="CD14:CD16">
    <cfRule type="dataBar" priority="130">
      <dataBar>
        <cfvo type="min"/>
        <cfvo type="max"/>
        <color rgb="FF628DC4"/>
      </dataBar>
    </cfRule>
  </conditionalFormatting>
  <conditionalFormatting sqref="CD22:CD24">
    <cfRule type="dataBar" priority="199">
      <dataBar>
        <cfvo type="min"/>
        <cfvo type="max"/>
        <color rgb="FF628DC4"/>
      </dataBar>
    </cfRule>
  </conditionalFormatting>
  <conditionalFormatting sqref="CD30:CD36">
    <cfRule type="dataBar" priority="268">
      <dataBar>
        <cfvo type="min"/>
        <cfvo type="max"/>
        <color rgb="FF628DC4"/>
      </dataBar>
    </cfRule>
  </conditionalFormatting>
  <conditionalFormatting sqref="CD42:CD49">
    <cfRule type="dataBar" priority="337">
      <dataBar>
        <cfvo type="min"/>
        <cfvo type="max"/>
        <color rgb="FF628DC4"/>
      </dataBar>
    </cfRule>
  </conditionalFormatting>
  <conditionalFormatting sqref="CD55:CD58">
    <cfRule type="dataBar" priority="406">
      <dataBar>
        <cfvo type="min"/>
        <cfvo type="max"/>
        <color rgb="FF628DC4"/>
      </dataBar>
    </cfRule>
  </conditionalFormatting>
  <conditionalFormatting sqref="CD64:CD66">
    <cfRule type="dataBar" priority="475">
      <dataBar>
        <cfvo type="min"/>
        <cfvo type="max"/>
        <color rgb="FF628DC4"/>
      </dataBar>
    </cfRule>
  </conditionalFormatting>
  <conditionalFormatting sqref="CD72:CD78">
    <cfRule type="dataBar" priority="544">
      <dataBar>
        <cfvo type="min"/>
        <cfvo type="max"/>
        <color rgb="FF628DC4"/>
      </dataBar>
    </cfRule>
  </conditionalFormatting>
  <conditionalFormatting sqref="CD84:CD91">
    <cfRule type="dataBar" priority="613">
      <dataBar>
        <cfvo type="min"/>
        <cfvo type="max"/>
        <color rgb="FF628DC4"/>
      </dataBar>
    </cfRule>
  </conditionalFormatting>
  <conditionalFormatting sqref="CD97:CD100">
    <cfRule type="dataBar" priority="682">
      <dataBar>
        <cfvo type="min"/>
        <cfvo type="max"/>
        <color rgb="FF628DC4"/>
      </dataBar>
    </cfRule>
  </conditionalFormatting>
  <conditionalFormatting sqref="CD106:CD108">
    <cfRule type="dataBar" priority="751">
      <dataBar>
        <cfvo type="min"/>
        <cfvo type="max"/>
        <color rgb="FF628DC4"/>
      </dataBar>
    </cfRule>
  </conditionalFormatting>
  <conditionalFormatting sqref="CD114:CD120">
    <cfRule type="dataBar" priority="820">
      <dataBar>
        <cfvo type="min"/>
        <cfvo type="max"/>
        <color rgb="FF628DC4"/>
      </dataBar>
    </cfRule>
  </conditionalFormatting>
  <conditionalFormatting sqref="CD126:CD133">
    <cfRule type="dataBar" priority="889">
      <dataBar>
        <cfvo type="min"/>
        <cfvo type="max"/>
        <color rgb="FF628DC4"/>
      </dataBar>
    </cfRule>
  </conditionalFormatting>
  <conditionalFormatting sqref="CD139:CD142">
    <cfRule type="dataBar" priority="958">
      <dataBar>
        <cfvo type="min"/>
        <cfvo type="max"/>
        <color rgb="FF628DC4"/>
      </dataBar>
    </cfRule>
  </conditionalFormatting>
  <conditionalFormatting sqref="CD148:CD150">
    <cfRule type="dataBar" priority="1027">
      <dataBar>
        <cfvo type="min"/>
        <cfvo type="max"/>
        <color rgb="FF628DC4"/>
      </dataBar>
    </cfRule>
  </conditionalFormatting>
  <conditionalFormatting sqref="CD156:CD162">
    <cfRule type="dataBar" priority="1096">
      <dataBar>
        <cfvo type="min"/>
        <cfvo type="max"/>
        <color rgb="FF628DC4"/>
      </dataBar>
    </cfRule>
  </conditionalFormatting>
  <conditionalFormatting sqref="CD168:CD175">
    <cfRule type="dataBar" priority="1165">
      <dataBar>
        <cfvo type="min"/>
        <cfvo type="max"/>
        <color rgb="FF628DC4"/>
      </dataBar>
    </cfRule>
  </conditionalFormatting>
  <conditionalFormatting sqref="CD181:CD184">
    <cfRule type="dataBar" priority="1234">
      <dataBar>
        <cfvo type="min"/>
        <cfvo type="max"/>
        <color rgb="FF628DC4"/>
      </dataBar>
    </cfRule>
  </conditionalFormatting>
  <conditionalFormatting sqref="CD190:CD192">
    <cfRule type="dataBar" priority="1303">
      <dataBar>
        <cfvo type="min"/>
        <cfvo type="max"/>
        <color rgb="FF628DC4"/>
      </dataBar>
    </cfRule>
  </conditionalFormatting>
  <conditionalFormatting sqref="CD198:CD204">
    <cfRule type="dataBar" priority="1372">
      <dataBar>
        <cfvo type="min"/>
        <cfvo type="max"/>
        <color rgb="FF628DC4"/>
      </dataBar>
    </cfRule>
  </conditionalFormatting>
  <conditionalFormatting sqref="CD210:CD212">
    <cfRule type="dataBar" priority="1441">
      <dataBar>
        <cfvo type="min"/>
        <cfvo type="max"/>
        <color rgb="FF628DC4"/>
      </dataBar>
    </cfRule>
  </conditionalFormatting>
  <conditionalFormatting sqref="CD218:CD226">
    <cfRule type="dataBar" priority="1510">
      <dataBar>
        <cfvo type="min"/>
        <cfvo type="max"/>
        <color rgb="FF628DC4"/>
      </dataBar>
    </cfRule>
  </conditionalFormatting>
  <conditionalFormatting sqref="CD232:CD240">
    <cfRule type="dataBar" priority="1579">
      <dataBar>
        <cfvo type="min"/>
        <cfvo type="max"/>
        <color rgb="FF628DC4"/>
      </dataBar>
    </cfRule>
  </conditionalFormatting>
  <conditionalFormatting sqref="CD246:CD254">
    <cfRule type="dataBar" priority="1648">
      <dataBar>
        <cfvo type="min"/>
        <cfvo type="max"/>
        <color rgb="FF628DC4"/>
      </dataBar>
    </cfRule>
  </conditionalFormatting>
  <conditionalFormatting sqref="CD260:CD268">
    <cfRule type="dataBar" priority="1717">
      <dataBar>
        <cfvo type="min"/>
        <cfvo type="max"/>
        <color rgb="FF628DC4"/>
      </dataBar>
    </cfRule>
  </conditionalFormatting>
  <conditionalFormatting sqref="CD274:CD276">
    <cfRule type="dataBar" priority="1786">
      <dataBar>
        <cfvo type="min"/>
        <cfvo type="max"/>
        <color rgb="FF628DC4"/>
      </dataBar>
    </cfRule>
  </conditionalFormatting>
  <conditionalFormatting sqref="CD282:CD287">
    <cfRule type="dataBar" priority="1855">
      <dataBar>
        <cfvo type="min"/>
        <cfvo type="max"/>
        <color rgb="FF628DC4"/>
      </dataBar>
    </cfRule>
  </conditionalFormatting>
  <conditionalFormatting sqref="CD293:CD300">
    <cfRule type="dataBar" priority="1924">
      <dataBar>
        <cfvo type="min"/>
        <cfvo type="max"/>
        <color rgb="FF628DC4"/>
      </dataBar>
    </cfRule>
  </conditionalFormatting>
  <conditionalFormatting sqref="CD306:CD313">
    <cfRule type="dataBar" priority="1993">
      <dataBar>
        <cfvo type="min"/>
        <cfvo type="max"/>
        <color rgb="FF628DC4"/>
      </dataBar>
    </cfRule>
  </conditionalFormatting>
  <conditionalFormatting sqref="CE6:CE8">
    <cfRule type="dataBar" priority="62">
      <dataBar>
        <cfvo type="min"/>
        <cfvo type="max"/>
        <color rgb="FFFFB628"/>
      </dataBar>
    </cfRule>
  </conditionalFormatting>
  <conditionalFormatting sqref="CE14:CE16">
    <cfRule type="dataBar" priority="131">
      <dataBar>
        <cfvo type="min"/>
        <cfvo type="max"/>
        <color rgb="FFFFB628"/>
      </dataBar>
    </cfRule>
  </conditionalFormatting>
  <conditionalFormatting sqref="CE22:CE24">
    <cfRule type="dataBar" priority="200">
      <dataBar>
        <cfvo type="min"/>
        <cfvo type="max"/>
        <color rgb="FFFFB628"/>
      </dataBar>
    </cfRule>
  </conditionalFormatting>
  <conditionalFormatting sqref="CE30:CE36">
    <cfRule type="dataBar" priority="269">
      <dataBar>
        <cfvo type="min"/>
        <cfvo type="max"/>
        <color rgb="FFFFB628"/>
      </dataBar>
    </cfRule>
  </conditionalFormatting>
  <conditionalFormatting sqref="CE42:CE49">
    <cfRule type="dataBar" priority="338">
      <dataBar>
        <cfvo type="min"/>
        <cfvo type="max"/>
        <color rgb="FFFFB628"/>
      </dataBar>
    </cfRule>
  </conditionalFormatting>
  <conditionalFormatting sqref="CE55:CE58">
    <cfRule type="dataBar" priority="407">
      <dataBar>
        <cfvo type="min"/>
        <cfvo type="max"/>
        <color rgb="FFFFB628"/>
      </dataBar>
    </cfRule>
  </conditionalFormatting>
  <conditionalFormatting sqref="CE64:CE66">
    <cfRule type="dataBar" priority="476">
      <dataBar>
        <cfvo type="min"/>
        <cfvo type="max"/>
        <color rgb="FFFFB628"/>
      </dataBar>
    </cfRule>
  </conditionalFormatting>
  <conditionalFormatting sqref="CE72:CE78">
    <cfRule type="dataBar" priority="545">
      <dataBar>
        <cfvo type="min"/>
        <cfvo type="max"/>
        <color rgb="FFFFB628"/>
      </dataBar>
    </cfRule>
  </conditionalFormatting>
  <conditionalFormatting sqref="CE84:CE91">
    <cfRule type="dataBar" priority="614">
      <dataBar>
        <cfvo type="min"/>
        <cfvo type="max"/>
        <color rgb="FFFFB628"/>
      </dataBar>
    </cfRule>
  </conditionalFormatting>
  <conditionalFormatting sqref="CE97:CE100">
    <cfRule type="dataBar" priority="683">
      <dataBar>
        <cfvo type="min"/>
        <cfvo type="max"/>
        <color rgb="FFFFB628"/>
      </dataBar>
    </cfRule>
  </conditionalFormatting>
  <conditionalFormatting sqref="CE106:CE108">
    <cfRule type="dataBar" priority="752">
      <dataBar>
        <cfvo type="min"/>
        <cfvo type="max"/>
        <color rgb="FFFFB628"/>
      </dataBar>
    </cfRule>
  </conditionalFormatting>
  <conditionalFormatting sqref="CE114:CE120">
    <cfRule type="dataBar" priority="821">
      <dataBar>
        <cfvo type="min"/>
        <cfvo type="max"/>
        <color rgb="FFFFB628"/>
      </dataBar>
    </cfRule>
  </conditionalFormatting>
  <conditionalFormatting sqref="CE126:CE133">
    <cfRule type="dataBar" priority="890">
      <dataBar>
        <cfvo type="min"/>
        <cfvo type="max"/>
        <color rgb="FFFFB628"/>
      </dataBar>
    </cfRule>
  </conditionalFormatting>
  <conditionalFormatting sqref="CE139:CE142">
    <cfRule type="dataBar" priority="959">
      <dataBar>
        <cfvo type="min"/>
        <cfvo type="max"/>
        <color rgb="FFFFB628"/>
      </dataBar>
    </cfRule>
  </conditionalFormatting>
  <conditionalFormatting sqref="CE148:CE150">
    <cfRule type="dataBar" priority="1028">
      <dataBar>
        <cfvo type="min"/>
        <cfvo type="max"/>
        <color rgb="FFFFB628"/>
      </dataBar>
    </cfRule>
  </conditionalFormatting>
  <conditionalFormatting sqref="CE156:CE162">
    <cfRule type="dataBar" priority="1097">
      <dataBar>
        <cfvo type="min"/>
        <cfvo type="max"/>
        <color rgb="FFFFB628"/>
      </dataBar>
    </cfRule>
  </conditionalFormatting>
  <conditionalFormatting sqref="CE168:CE175">
    <cfRule type="dataBar" priority="1166">
      <dataBar>
        <cfvo type="min"/>
        <cfvo type="max"/>
        <color rgb="FFFFB628"/>
      </dataBar>
    </cfRule>
  </conditionalFormatting>
  <conditionalFormatting sqref="CE181:CE184">
    <cfRule type="dataBar" priority="1235">
      <dataBar>
        <cfvo type="min"/>
        <cfvo type="max"/>
        <color rgb="FFFFB628"/>
      </dataBar>
    </cfRule>
  </conditionalFormatting>
  <conditionalFormatting sqref="CE190:CE192">
    <cfRule type="dataBar" priority="1304">
      <dataBar>
        <cfvo type="min"/>
        <cfvo type="max"/>
        <color rgb="FFFFB628"/>
      </dataBar>
    </cfRule>
  </conditionalFormatting>
  <conditionalFormatting sqref="CE198:CE204">
    <cfRule type="dataBar" priority="1373">
      <dataBar>
        <cfvo type="min"/>
        <cfvo type="max"/>
        <color rgb="FFFFB628"/>
      </dataBar>
    </cfRule>
  </conditionalFormatting>
  <conditionalFormatting sqref="CE210:CE212">
    <cfRule type="dataBar" priority="1442">
      <dataBar>
        <cfvo type="min"/>
        <cfvo type="max"/>
        <color rgb="FFFFB628"/>
      </dataBar>
    </cfRule>
  </conditionalFormatting>
  <conditionalFormatting sqref="CE218:CE226">
    <cfRule type="dataBar" priority="1511">
      <dataBar>
        <cfvo type="min"/>
        <cfvo type="max"/>
        <color rgb="FFFFB628"/>
      </dataBar>
    </cfRule>
  </conditionalFormatting>
  <conditionalFormatting sqref="CE232:CE240">
    <cfRule type="dataBar" priority="1580">
      <dataBar>
        <cfvo type="min"/>
        <cfvo type="max"/>
        <color rgb="FFFFB628"/>
      </dataBar>
    </cfRule>
  </conditionalFormatting>
  <conditionalFormatting sqref="CE246:CE254">
    <cfRule type="dataBar" priority="1649">
      <dataBar>
        <cfvo type="min"/>
        <cfvo type="max"/>
        <color rgb="FFFFB628"/>
      </dataBar>
    </cfRule>
  </conditionalFormatting>
  <conditionalFormatting sqref="CE260:CE268">
    <cfRule type="dataBar" priority="1718">
      <dataBar>
        <cfvo type="min"/>
        <cfvo type="max"/>
        <color rgb="FFFFB628"/>
      </dataBar>
    </cfRule>
  </conditionalFormatting>
  <conditionalFormatting sqref="CE274:CE276">
    <cfRule type="dataBar" priority="1787">
      <dataBar>
        <cfvo type="min"/>
        <cfvo type="max"/>
        <color rgb="FFFFB628"/>
      </dataBar>
    </cfRule>
  </conditionalFormatting>
  <conditionalFormatting sqref="CE282:CE287">
    <cfRule type="dataBar" priority="1856">
      <dataBar>
        <cfvo type="min"/>
        <cfvo type="max"/>
        <color rgb="FFFFB628"/>
      </dataBar>
    </cfRule>
  </conditionalFormatting>
  <conditionalFormatting sqref="CE293:CE300">
    <cfRule type="dataBar" priority="1925">
      <dataBar>
        <cfvo type="min"/>
        <cfvo type="max"/>
        <color rgb="FFFFB628"/>
      </dataBar>
    </cfRule>
  </conditionalFormatting>
  <conditionalFormatting sqref="CE306:CE313">
    <cfRule type="dataBar" priority="1994">
      <dataBar>
        <cfvo type="min"/>
        <cfvo type="max"/>
        <color rgb="FFFFB628"/>
      </dataBar>
    </cfRule>
  </conditionalFormatting>
  <conditionalFormatting sqref="CF6:CF8">
    <cfRule type="dataBar" priority="63">
      <dataBar>
        <cfvo type="min"/>
        <cfvo type="max"/>
        <color rgb="FFF08D5B"/>
      </dataBar>
    </cfRule>
  </conditionalFormatting>
  <conditionalFormatting sqref="CF14:CF16">
    <cfRule type="dataBar" priority="132">
      <dataBar>
        <cfvo type="min"/>
        <cfvo type="max"/>
        <color rgb="FFF08D5B"/>
      </dataBar>
    </cfRule>
  </conditionalFormatting>
  <conditionalFormatting sqref="CF22:CF24">
    <cfRule type="dataBar" priority="201">
      <dataBar>
        <cfvo type="min"/>
        <cfvo type="max"/>
        <color rgb="FFF08D5B"/>
      </dataBar>
    </cfRule>
  </conditionalFormatting>
  <conditionalFormatting sqref="CF30:CF36">
    <cfRule type="dataBar" priority="270">
      <dataBar>
        <cfvo type="min"/>
        <cfvo type="max"/>
        <color rgb="FFF08D5B"/>
      </dataBar>
    </cfRule>
  </conditionalFormatting>
  <conditionalFormatting sqref="CF42:CF49">
    <cfRule type="dataBar" priority="339">
      <dataBar>
        <cfvo type="min"/>
        <cfvo type="max"/>
        <color rgb="FFF08D5B"/>
      </dataBar>
    </cfRule>
  </conditionalFormatting>
  <conditionalFormatting sqref="CF55:CF58">
    <cfRule type="dataBar" priority="408">
      <dataBar>
        <cfvo type="min"/>
        <cfvo type="max"/>
        <color rgb="FFF08D5B"/>
      </dataBar>
    </cfRule>
  </conditionalFormatting>
  <conditionalFormatting sqref="CF64:CF66">
    <cfRule type="dataBar" priority="477">
      <dataBar>
        <cfvo type="min"/>
        <cfvo type="max"/>
        <color rgb="FFF08D5B"/>
      </dataBar>
    </cfRule>
  </conditionalFormatting>
  <conditionalFormatting sqref="CF72:CF78">
    <cfRule type="dataBar" priority="546">
      <dataBar>
        <cfvo type="min"/>
        <cfvo type="max"/>
        <color rgb="FFF08D5B"/>
      </dataBar>
    </cfRule>
  </conditionalFormatting>
  <conditionalFormatting sqref="CF84:CF91">
    <cfRule type="dataBar" priority="615">
      <dataBar>
        <cfvo type="min"/>
        <cfvo type="max"/>
        <color rgb="FFF08D5B"/>
      </dataBar>
    </cfRule>
  </conditionalFormatting>
  <conditionalFormatting sqref="CF97:CF100">
    <cfRule type="dataBar" priority="684">
      <dataBar>
        <cfvo type="min"/>
        <cfvo type="max"/>
        <color rgb="FFF08D5B"/>
      </dataBar>
    </cfRule>
  </conditionalFormatting>
  <conditionalFormatting sqref="CF106:CF108">
    <cfRule type="dataBar" priority="753">
      <dataBar>
        <cfvo type="min"/>
        <cfvo type="max"/>
        <color rgb="FFF08D5B"/>
      </dataBar>
    </cfRule>
  </conditionalFormatting>
  <conditionalFormatting sqref="CF114:CF120">
    <cfRule type="dataBar" priority="822">
      <dataBar>
        <cfvo type="min"/>
        <cfvo type="max"/>
        <color rgb="FFF08D5B"/>
      </dataBar>
    </cfRule>
  </conditionalFormatting>
  <conditionalFormatting sqref="CF126:CF133">
    <cfRule type="dataBar" priority="891">
      <dataBar>
        <cfvo type="min"/>
        <cfvo type="max"/>
        <color rgb="FFF08D5B"/>
      </dataBar>
    </cfRule>
  </conditionalFormatting>
  <conditionalFormatting sqref="CF139:CF142">
    <cfRule type="dataBar" priority="960">
      <dataBar>
        <cfvo type="min"/>
        <cfvo type="max"/>
        <color rgb="FFF08D5B"/>
      </dataBar>
    </cfRule>
  </conditionalFormatting>
  <conditionalFormatting sqref="CF148:CF150">
    <cfRule type="dataBar" priority="1029">
      <dataBar>
        <cfvo type="min"/>
        <cfvo type="max"/>
        <color rgb="FFF08D5B"/>
      </dataBar>
    </cfRule>
  </conditionalFormatting>
  <conditionalFormatting sqref="CF156:CF162">
    <cfRule type="dataBar" priority="1098">
      <dataBar>
        <cfvo type="min"/>
        <cfvo type="max"/>
        <color rgb="FFF08D5B"/>
      </dataBar>
    </cfRule>
  </conditionalFormatting>
  <conditionalFormatting sqref="CF168:CF175">
    <cfRule type="dataBar" priority="1167">
      <dataBar>
        <cfvo type="min"/>
        <cfvo type="max"/>
        <color rgb="FFF08D5B"/>
      </dataBar>
    </cfRule>
  </conditionalFormatting>
  <conditionalFormatting sqref="CF181:CF184">
    <cfRule type="dataBar" priority="1236">
      <dataBar>
        <cfvo type="min"/>
        <cfvo type="max"/>
        <color rgb="FFF08D5B"/>
      </dataBar>
    </cfRule>
  </conditionalFormatting>
  <conditionalFormatting sqref="CF190:CF192">
    <cfRule type="dataBar" priority="1305">
      <dataBar>
        <cfvo type="min"/>
        <cfvo type="max"/>
        <color rgb="FFF08D5B"/>
      </dataBar>
    </cfRule>
  </conditionalFormatting>
  <conditionalFormatting sqref="CF198:CF204">
    <cfRule type="dataBar" priority="1374">
      <dataBar>
        <cfvo type="min"/>
        <cfvo type="max"/>
        <color rgb="FFF08D5B"/>
      </dataBar>
    </cfRule>
  </conditionalFormatting>
  <conditionalFormatting sqref="CF210:CF212">
    <cfRule type="dataBar" priority="1443">
      <dataBar>
        <cfvo type="min"/>
        <cfvo type="max"/>
        <color rgb="FFF08D5B"/>
      </dataBar>
    </cfRule>
  </conditionalFormatting>
  <conditionalFormatting sqref="CF218:CF226">
    <cfRule type="dataBar" priority="1512">
      <dataBar>
        <cfvo type="min"/>
        <cfvo type="max"/>
        <color rgb="FFF08D5B"/>
      </dataBar>
    </cfRule>
  </conditionalFormatting>
  <conditionalFormatting sqref="CF232:CF240">
    <cfRule type="dataBar" priority="1581">
      <dataBar>
        <cfvo type="min"/>
        <cfvo type="max"/>
        <color rgb="FFF08D5B"/>
      </dataBar>
    </cfRule>
  </conditionalFormatting>
  <conditionalFormatting sqref="CF246:CF254">
    <cfRule type="dataBar" priority="1650">
      <dataBar>
        <cfvo type="min"/>
        <cfvo type="max"/>
        <color rgb="FFF08D5B"/>
      </dataBar>
    </cfRule>
  </conditionalFormatting>
  <conditionalFormatting sqref="CF260:CF268">
    <cfRule type="dataBar" priority="1719">
      <dataBar>
        <cfvo type="min"/>
        <cfvo type="max"/>
        <color rgb="FFF08D5B"/>
      </dataBar>
    </cfRule>
  </conditionalFormatting>
  <conditionalFormatting sqref="CF274:CF276">
    <cfRule type="dataBar" priority="1788">
      <dataBar>
        <cfvo type="min"/>
        <cfvo type="max"/>
        <color rgb="FFF08D5B"/>
      </dataBar>
    </cfRule>
  </conditionalFormatting>
  <conditionalFormatting sqref="CF282:CF287">
    <cfRule type="dataBar" priority="1857">
      <dataBar>
        <cfvo type="min"/>
        <cfvo type="max"/>
        <color rgb="FFF08D5B"/>
      </dataBar>
    </cfRule>
  </conditionalFormatting>
  <conditionalFormatting sqref="CF293:CF300">
    <cfRule type="dataBar" priority="1926">
      <dataBar>
        <cfvo type="min"/>
        <cfvo type="max"/>
        <color rgb="FFF08D5B"/>
      </dataBar>
    </cfRule>
  </conditionalFormatting>
  <conditionalFormatting sqref="CF306:CF313">
    <cfRule type="dataBar" priority="1995">
      <dataBar>
        <cfvo type="min"/>
        <cfvo type="max"/>
        <color rgb="FFF08D5B"/>
      </dataBar>
    </cfRule>
  </conditionalFormatting>
  <conditionalFormatting sqref="CH6:CH8">
    <cfRule type="dataBar" priority="64">
      <dataBar>
        <cfvo type="min"/>
        <cfvo type="max"/>
        <color rgb="FF628DC4"/>
      </dataBar>
    </cfRule>
  </conditionalFormatting>
  <conditionalFormatting sqref="CH14:CH16">
    <cfRule type="dataBar" priority="133">
      <dataBar>
        <cfvo type="min"/>
        <cfvo type="max"/>
        <color rgb="FF628DC4"/>
      </dataBar>
    </cfRule>
  </conditionalFormatting>
  <conditionalFormatting sqref="CH22:CH24">
    <cfRule type="dataBar" priority="202">
      <dataBar>
        <cfvo type="min"/>
        <cfvo type="max"/>
        <color rgb="FF628DC4"/>
      </dataBar>
    </cfRule>
  </conditionalFormatting>
  <conditionalFormatting sqref="CH30:CH36">
    <cfRule type="dataBar" priority="271">
      <dataBar>
        <cfvo type="min"/>
        <cfvo type="max"/>
        <color rgb="FF628DC4"/>
      </dataBar>
    </cfRule>
  </conditionalFormatting>
  <conditionalFormatting sqref="CH42:CH49">
    <cfRule type="dataBar" priority="340">
      <dataBar>
        <cfvo type="min"/>
        <cfvo type="max"/>
        <color rgb="FF628DC4"/>
      </dataBar>
    </cfRule>
  </conditionalFormatting>
  <conditionalFormatting sqref="CH55:CH58">
    <cfRule type="dataBar" priority="409">
      <dataBar>
        <cfvo type="min"/>
        <cfvo type="max"/>
        <color rgb="FF628DC4"/>
      </dataBar>
    </cfRule>
  </conditionalFormatting>
  <conditionalFormatting sqref="CH64:CH66">
    <cfRule type="dataBar" priority="478">
      <dataBar>
        <cfvo type="min"/>
        <cfvo type="max"/>
        <color rgb="FF628DC4"/>
      </dataBar>
    </cfRule>
  </conditionalFormatting>
  <conditionalFormatting sqref="CH72:CH78">
    <cfRule type="dataBar" priority="547">
      <dataBar>
        <cfvo type="min"/>
        <cfvo type="max"/>
        <color rgb="FF628DC4"/>
      </dataBar>
    </cfRule>
  </conditionalFormatting>
  <conditionalFormatting sqref="CH84:CH91">
    <cfRule type="dataBar" priority="616">
      <dataBar>
        <cfvo type="min"/>
        <cfvo type="max"/>
        <color rgb="FF628DC4"/>
      </dataBar>
    </cfRule>
  </conditionalFormatting>
  <conditionalFormatting sqref="CH97:CH100">
    <cfRule type="dataBar" priority="685">
      <dataBar>
        <cfvo type="min"/>
        <cfvo type="max"/>
        <color rgb="FF628DC4"/>
      </dataBar>
    </cfRule>
  </conditionalFormatting>
  <conditionalFormatting sqref="CH106:CH108">
    <cfRule type="dataBar" priority="754">
      <dataBar>
        <cfvo type="min"/>
        <cfvo type="max"/>
        <color rgb="FF628DC4"/>
      </dataBar>
    </cfRule>
  </conditionalFormatting>
  <conditionalFormatting sqref="CH114:CH120">
    <cfRule type="dataBar" priority="823">
      <dataBar>
        <cfvo type="min"/>
        <cfvo type="max"/>
        <color rgb="FF628DC4"/>
      </dataBar>
    </cfRule>
  </conditionalFormatting>
  <conditionalFormatting sqref="CH126:CH133">
    <cfRule type="dataBar" priority="892">
      <dataBar>
        <cfvo type="min"/>
        <cfvo type="max"/>
        <color rgb="FF628DC4"/>
      </dataBar>
    </cfRule>
  </conditionalFormatting>
  <conditionalFormatting sqref="CH139:CH142">
    <cfRule type="dataBar" priority="961">
      <dataBar>
        <cfvo type="min"/>
        <cfvo type="max"/>
        <color rgb="FF628DC4"/>
      </dataBar>
    </cfRule>
  </conditionalFormatting>
  <conditionalFormatting sqref="CH148:CH150">
    <cfRule type="dataBar" priority="1030">
      <dataBar>
        <cfvo type="min"/>
        <cfvo type="max"/>
        <color rgb="FF628DC4"/>
      </dataBar>
    </cfRule>
  </conditionalFormatting>
  <conditionalFormatting sqref="CH156:CH162">
    <cfRule type="dataBar" priority="1099">
      <dataBar>
        <cfvo type="min"/>
        <cfvo type="max"/>
        <color rgb="FF628DC4"/>
      </dataBar>
    </cfRule>
  </conditionalFormatting>
  <conditionalFormatting sqref="CH168:CH175">
    <cfRule type="dataBar" priority="1168">
      <dataBar>
        <cfvo type="min"/>
        <cfvo type="max"/>
        <color rgb="FF628DC4"/>
      </dataBar>
    </cfRule>
  </conditionalFormatting>
  <conditionalFormatting sqref="CH181:CH184">
    <cfRule type="dataBar" priority="1237">
      <dataBar>
        <cfvo type="min"/>
        <cfvo type="max"/>
        <color rgb="FF628DC4"/>
      </dataBar>
    </cfRule>
  </conditionalFormatting>
  <conditionalFormatting sqref="CH190:CH192">
    <cfRule type="dataBar" priority="1306">
      <dataBar>
        <cfvo type="min"/>
        <cfvo type="max"/>
        <color rgb="FF628DC4"/>
      </dataBar>
    </cfRule>
  </conditionalFormatting>
  <conditionalFormatting sqref="CH198:CH204">
    <cfRule type="dataBar" priority="1375">
      <dataBar>
        <cfvo type="min"/>
        <cfvo type="max"/>
        <color rgb="FF628DC4"/>
      </dataBar>
    </cfRule>
  </conditionalFormatting>
  <conditionalFormatting sqref="CH210:CH212">
    <cfRule type="dataBar" priority="1444">
      <dataBar>
        <cfvo type="min"/>
        <cfvo type="max"/>
        <color rgb="FF628DC4"/>
      </dataBar>
    </cfRule>
  </conditionalFormatting>
  <conditionalFormatting sqref="CH218:CH226">
    <cfRule type="dataBar" priority="1513">
      <dataBar>
        <cfvo type="min"/>
        <cfvo type="max"/>
        <color rgb="FF628DC4"/>
      </dataBar>
    </cfRule>
  </conditionalFormatting>
  <conditionalFormatting sqref="CH232:CH240">
    <cfRule type="dataBar" priority="1582">
      <dataBar>
        <cfvo type="min"/>
        <cfvo type="max"/>
        <color rgb="FF628DC4"/>
      </dataBar>
    </cfRule>
  </conditionalFormatting>
  <conditionalFormatting sqref="CH246:CH254">
    <cfRule type="dataBar" priority="1651">
      <dataBar>
        <cfvo type="min"/>
        <cfvo type="max"/>
        <color rgb="FF628DC4"/>
      </dataBar>
    </cfRule>
  </conditionalFormatting>
  <conditionalFormatting sqref="CH260:CH268">
    <cfRule type="dataBar" priority="1720">
      <dataBar>
        <cfvo type="min"/>
        <cfvo type="max"/>
        <color rgb="FF628DC4"/>
      </dataBar>
    </cfRule>
  </conditionalFormatting>
  <conditionalFormatting sqref="CH274:CH276">
    <cfRule type="dataBar" priority="1789">
      <dataBar>
        <cfvo type="min"/>
        <cfvo type="max"/>
        <color rgb="FF628DC4"/>
      </dataBar>
    </cfRule>
  </conditionalFormatting>
  <conditionalFormatting sqref="CH282:CH287">
    <cfRule type="dataBar" priority="1858">
      <dataBar>
        <cfvo type="min"/>
        <cfvo type="max"/>
        <color rgb="FF628DC4"/>
      </dataBar>
    </cfRule>
  </conditionalFormatting>
  <conditionalFormatting sqref="CH293:CH300">
    <cfRule type="dataBar" priority="1927">
      <dataBar>
        <cfvo type="min"/>
        <cfvo type="max"/>
        <color rgb="FF628DC4"/>
      </dataBar>
    </cfRule>
  </conditionalFormatting>
  <conditionalFormatting sqref="CH306:CH313">
    <cfRule type="dataBar" priority="1996">
      <dataBar>
        <cfvo type="min"/>
        <cfvo type="max"/>
        <color rgb="FF628DC4"/>
      </dataBar>
    </cfRule>
  </conditionalFormatting>
  <conditionalFormatting sqref="CI6:CI8">
    <cfRule type="dataBar" priority="65">
      <dataBar>
        <cfvo type="min"/>
        <cfvo type="max"/>
        <color rgb="FFFFB628"/>
      </dataBar>
    </cfRule>
  </conditionalFormatting>
  <conditionalFormatting sqref="CI14:CI16">
    <cfRule type="dataBar" priority="134">
      <dataBar>
        <cfvo type="min"/>
        <cfvo type="max"/>
        <color rgb="FFFFB628"/>
      </dataBar>
    </cfRule>
  </conditionalFormatting>
  <conditionalFormatting sqref="CI22:CI24">
    <cfRule type="dataBar" priority="203">
      <dataBar>
        <cfvo type="min"/>
        <cfvo type="max"/>
        <color rgb="FFFFB628"/>
      </dataBar>
    </cfRule>
  </conditionalFormatting>
  <conditionalFormatting sqref="CI30:CI36">
    <cfRule type="dataBar" priority="272">
      <dataBar>
        <cfvo type="min"/>
        <cfvo type="max"/>
        <color rgb="FFFFB628"/>
      </dataBar>
    </cfRule>
  </conditionalFormatting>
  <conditionalFormatting sqref="CI42:CI49">
    <cfRule type="dataBar" priority="341">
      <dataBar>
        <cfvo type="min"/>
        <cfvo type="max"/>
        <color rgb="FFFFB628"/>
      </dataBar>
    </cfRule>
  </conditionalFormatting>
  <conditionalFormatting sqref="CI55:CI58">
    <cfRule type="dataBar" priority="410">
      <dataBar>
        <cfvo type="min"/>
        <cfvo type="max"/>
        <color rgb="FFFFB628"/>
      </dataBar>
    </cfRule>
  </conditionalFormatting>
  <conditionalFormatting sqref="CI64:CI66">
    <cfRule type="dataBar" priority="479">
      <dataBar>
        <cfvo type="min"/>
        <cfvo type="max"/>
        <color rgb="FFFFB628"/>
      </dataBar>
    </cfRule>
  </conditionalFormatting>
  <conditionalFormatting sqref="CI72:CI78">
    <cfRule type="dataBar" priority="548">
      <dataBar>
        <cfvo type="min"/>
        <cfvo type="max"/>
        <color rgb="FFFFB628"/>
      </dataBar>
    </cfRule>
  </conditionalFormatting>
  <conditionalFormatting sqref="CI84:CI91">
    <cfRule type="dataBar" priority="617">
      <dataBar>
        <cfvo type="min"/>
        <cfvo type="max"/>
        <color rgb="FFFFB628"/>
      </dataBar>
    </cfRule>
  </conditionalFormatting>
  <conditionalFormatting sqref="CI97:CI100">
    <cfRule type="dataBar" priority="686">
      <dataBar>
        <cfvo type="min"/>
        <cfvo type="max"/>
        <color rgb="FFFFB628"/>
      </dataBar>
    </cfRule>
  </conditionalFormatting>
  <conditionalFormatting sqref="CI106:CI108">
    <cfRule type="dataBar" priority="755">
      <dataBar>
        <cfvo type="min"/>
        <cfvo type="max"/>
        <color rgb="FFFFB628"/>
      </dataBar>
    </cfRule>
  </conditionalFormatting>
  <conditionalFormatting sqref="CI114:CI120">
    <cfRule type="dataBar" priority="824">
      <dataBar>
        <cfvo type="min"/>
        <cfvo type="max"/>
        <color rgb="FFFFB628"/>
      </dataBar>
    </cfRule>
  </conditionalFormatting>
  <conditionalFormatting sqref="CI126:CI133">
    <cfRule type="dataBar" priority="893">
      <dataBar>
        <cfvo type="min"/>
        <cfvo type="max"/>
        <color rgb="FFFFB628"/>
      </dataBar>
    </cfRule>
  </conditionalFormatting>
  <conditionalFormatting sqref="CI139:CI142">
    <cfRule type="dataBar" priority="962">
      <dataBar>
        <cfvo type="min"/>
        <cfvo type="max"/>
        <color rgb="FFFFB628"/>
      </dataBar>
    </cfRule>
  </conditionalFormatting>
  <conditionalFormatting sqref="CI148:CI150">
    <cfRule type="dataBar" priority="1031">
      <dataBar>
        <cfvo type="min"/>
        <cfvo type="max"/>
        <color rgb="FFFFB628"/>
      </dataBar>
    </cfRule>
  </conditionalFormatting>
  <conditionalFormatting sqref="CI156:CI162">
    <cfRule type="dataBar" priority="1100">
      <dataBar>
        <cfvo type="min"/>
        <cfvo type="max"/>
        <color rgb="FFFFB628"/>
      </dataBar>
    </cfRule>
  </conditionalFormatting>
  <conditionalFormatting sqref="CI168:CI175">
    <cfRule type="dataBar" priority="1169">
      <dataBar>
        <cfvo type="min"/>
        <cfvo type="max"/>
        <color rgb="FFFFB628"/>
      </dataBar>
    </cfRule>
  </conditionalFormatting>
  <conditionalFormatting sqref="CI181:CI184">
    <cfRule type="dataBar" priority="1238">
      <dataBar>
        <cfvo type="min"/>
        <cfvo type="max"/>
        <color rgb="FFFFB628"/>
      </dataBar>
    </cfRule>
  </conditionalFormatting>
  <conditionalFormatting sqref="CI190:CI192">
    <cfRule type="dataBar" priority="1307">
      <dataBar>
        <cfvo type="min"/>
        <cfvo type="max"/>
        <color rgb="FFFFB628"/>
      </dataBar>
    </cfRule>
  </conditionalFormatting>
  <conditionalFormatting sqref="CI198:CI204">
    <cfRule type="dataBar" priority="1376">
      <dataBar>
        <cfvo type="min"/>
        <cfvo type="max"/>
        <color rgb="FFFFB628"/>
      </dataBar>
    </cfRule>
  </conditionalFormatting>
  <conditionalFormatting sqref="CI210:CI212">
    <cfRule type="dataBar" priority="1445">
      <dataBar>
        <cfvo type="min"/>
        <cfvo type="max"/>
        <color rgb="FFFFB628"/>
      </dataBar>
    </cfRule>
  </conditionalFormatting>
  <conditionalFormatting sqref="CI218:CI226">
    <cfRule type="dataBar" priority="1514">
      <dataBar>
        <cfvo type="min"/>
        <cfvo type="max"/>
        <color rgb="FFFFB628"/>
      </dataBar>
    </cfRule>
  </conditionalFormatting>
  <conditionalFormatting sqref="CI232:CI240">
    <cfRule type="dataBar" priority="1583">
      <dataBar>
        <cfvo type="min"/>
        <cfvo type="max"/>
        <color rgb="FFFFB628"/>
      </dataBar>
    </cfRule>
  </conditionalFormatting>
  <conditionalFormatting sqref="CI246:CI254">
    <cfRule type="dataBar" priority="1652">
      <dataBar>
        <cfvo type="min"/>
        <cfvo type="max"/>
        <color rgb="FFFFB628"/>
      </dataBar>
    </cfRule>
  </conditionalFormatting>
  <conditionalFormatting sqref="CI260:CI268">
    <cfRule type="dataBar" priority="1721">
      <dataBar>
        <cfvo type="min"/>
        <cfvo type="max"/>
        <color rgb="FFFFB628"/>
      </dataBar>
    </cfRule>
  </conditionalFormatting>
  <conditionalFormatting sqref="CI274:CI276">
    <cfRule type="dataBar" priority="1790">
      <dataBar>
        <cfvo type="min"/>
        <cfvo type="max"/>
        <color rgb="FFFFB628"/>
      </dataBar>
    </cfRule>
  </conditionalFormatting>
  <conditionalFormatting sqref="CI282:CI287">
    <cfRule type="dataBar" priority="1859">
      <dataBar>
        <cfvo type="min"/>
        <cfvo type="max"/>
        <color rgb="FFFFB628"/>
      </dataBar>
    </cfRule>
  </conditionalFormatting>
  <conditionalFormatting sqref="CI293:CI300">
    <cfRule type="dataBar" priority="1928">
      <dataBar>
        <cfvo type="min"/>
        <cfvo type="max"/>
        <color rgb="FFFFB628"/>
      </dataBar>
    </cfRule>
  </conditionalFormatting>
  <conditionalFormatting sqref="CI306:CI313">
    <cfRule type="dataBar" priority="1997">
      <dataBar>
        <cfvo type="min"/>
        <cfvo type="max"/>
        <color rgb="FFFFB628"/>
      </dataBar>
    </cfRule>
  </conditionalFormatting>
  <conditionalFormatting sqref="CJ6:CJ8">
    <cfRule type="dataBar" priority="66">
      <dataBar>
        <cfvo type="min"/>
        <cfvo type="max"/>
        <color rgb="FFF08D5B"/>
      </dataBar>
    </cfRule>
  </conditionalFormatting>
  <conditionalFormatting sqref="CJ14:CJ16">
    <cfRule type="dataBar" priority="135">
      <dataBar>
        <cfvo type="min"/>
        <cfvo type="max"/>
        <color rgb="FFF08D5B"/>
      </dataBar>
    </cfRule>
  </conditionalFormatting>
  <conditionalFormatting sqref="CJ22:CJ24">
    <cfRule type="dataBar" priority="204">
      <dataBar>
        <cfvo type="min"/>
        <cfvo type="max"/>
        <color rgb="FFF08D5B"/>
      </dataBar>
    </cfRule>
  </conditionalFormatting>
  <conditionalFormatting sqref="CJ30:CJ36">
    <cfRule type="dataBar" priority="273">
      <dataBar>
        <cfvo type="min"/>
        <cfvo type="max"/>
        <color rgb="FFF08D5B"/>
      </dataBar>
    </cfRule>
  </conditionalFormatting>
  <conditionalFormatting sqref="CJ42:CJ49">
    <cfRule type="dataBar" priority="342">
      <dataBar>
        <cfvo type="min"/>
        <cfvo type="max"/>
        <color rgb="FFF08D5B"/>
      </dataBar>
    </cfRule>
  </conditionalFormatting>
  <conditionalFormatting sqref="CJ55:CJ58">
    <cfRule type="dataBar" priority="411">
      <dataBar>
        <cfvo type="min"/>
        <cfvo type="max"/>
        <color rgb="FFF08D5B"/>
      </dataBar>
    </cfRule>
  </conditionalFormatting>
  <conditionalFormatting sqref="CJ64:CJ66">
    <cfRule type="dataBar" priority="480">
      <dataBar>
        <cfvo type="min"/>
        <cfvo type="max"/>
        <color rgb="FFF08D5B"/>
      </dataBar>
    </cfRule>
  </conditionalFormatting>
  <conditionalFormatting sqref="CJ72:CJ78">
    <cfRule type="dataBar" priority="549">
      <dataBar>
        <cfvo type="min"/>
        <cfvo type="max"/>
        <color rgb="FFF08D5B"/>
      </dataBar>
    </cfRule>
  </conditionalFormatting>
  <conditionalFormatting sqref="CJ84:CJ91">
    <cfRule type="dataBar" priority="618">
      <dataBar>
        <cfvo type="min"/>
        <cfvo type="max"/>
        <color rgb="FFF08D5B"/>
      </dataBar>
    </cfRule>
  </conditionalFormatting>
  <conditionalFormatting sqref="CJ97:CJ100">
    <cfRule type="dataBar" priority="687">
      <dataBar>
        <cfvo type="min"/>
        <cfvo type="max"/>
        <color rgb="FFF08D5B"/>
      </dataBar>
    </cfRule>
  </conditionalFormatting>
  <conditionalFormatting sqref="CJ106:CJ108">
    <cfRule type="dataBar" priority="756">
      <dataBar>
        <cfvo type="min"/>
        <cfvo type="max"/>
        <color rgb="FFF08D5B"/>
      </dataBar>
    </cfRule>
  </conditionalFormatting>
  <conditionalFormatting sqref="CJ114:CJ120">
    <cfRule type="dataBar" priority="825">
      <dataBar>
        <cfvo type="min"/>
        <cfvo type="max"/>
        <color rgb="FFF08D5B"/>
      </dataBar>
    </cfRule>
  </conditionalFormatting>
  <conditionalFormatting sqref="CJ126:CJ133">
    <cfRule type="dataBar" priority="894">
      <dataBar>
        <cfvo type="min"/>
        <cfvo type="max"/>
        <color rgb="FFF08D5B"/>
      </dataBar>
    </cfRule>
  </conditionalFormatting>
  <conditionalFormatting sqref="CJ139:CJ142">
    <cfRule type="dataBar" priority="963">
      <dataBar>
        <cfvo type="min"/>
        <cfvo type="max"/>
        <color rgb="FFF08D5B"/>
      </dataBar>
    </cfRule>
  </conditionalFormatting>
  <conditionalFormatting sqref="CJ148:CJ150">
    <cfRule type="dataBar" priority="1032">
      <dataBar>
        <cfvo type="min"/>
        <cfvo type="max"/>
        <color rgb="FFF08D5B"/>
      </dataBar>
    </cfRule>
  </conditionalFormatting>
  <conditionalFormatting sqref="CJ156:CJ162">
    <cfRule type="dataBar" priority="1101">
      <dataBar>
        <cfvo type="min"/>
        <cfvo type="max"/>
        <color rgb="FFF08D5B"/>
      </dataBar>
    </cfRule>
  </conditionalFormatting>
  <conditionalFormatting sqref="CJ168:CJ175">
    <cfRule type="dataBar" priority="1170">
      <dataBar>
        <cfvo type="min"/>
        <cfvo type="max"/>
        <color rgb="FFF08D5B"/>
      </dataBar>
    </cfRule>
  </conditionalFormatting>
  <conditionalFormatting sqref="CJ181:CJ184">
    <cfRule type="dataBar" priority="1239">
      <dataBar>
        <cfvo type="min"/>
        <cfvo type="max"/>
        <color rgb="FFF08D5B"/>
      </dataBar>
    </cfRule>
  </conditionalFormatting>
  <conditionalFormatting sqref="CJ190:CJ192">
    <cfRule type="dataBar" priority="1308">
      <dataBar>
        <cfvo type="min"/>
        <cfvo type="max"/>
        <color rgb="FFF08D5B"/>
      </dataBar>
    </cfRule>
  </conditionalFormatting>
  <conditionalFormatting sqref="CJ198:CJ204">
    <cfRule type="dataBar" priority="1377">
      <dataBar>
        <cfvo type="min"/>
        <cfvo type="max"/>
        <color rgb="FFF08D5B"/>
      </dataBar>
    </cfRule>
  </conditionalFormatting>
  <conditionalFormatting sqref="CJ210:CJ212">
    <cfRule type="dataBar" priority="1446">
      <dataBar>
        <cfvo type="min"/>
        <cfvo type="max"/>
        <color rgb="FFF08D5B"/>
      </dataBar>
    </cfRule>
  </conditionalFormatting>
  <conditionalFormatting sqref="CJ218:CJ226">
    <cfRule type="dataBar" priority="1515">
      <dataBar>
        <cfvo type="min"/>
        <cfvo type="max"/>
        <color rgb="FFF08D5B"/>
      </dataBar>
    </cfRule>
  </conditionalFormatting>
  <conditionalFormatting sqref="CJ232:CJ240">
    <cfRule type="dataBar" priority="1584">
      <dataBar>
        <cfvo type="min"/>
        <cfvo type="max"/>
        <color rgb="FFF08D5B"/>
      </dataBar>
    </cfRule>
  </conditionalFormatting>
  <conditionalFormatting sqref="CJ246:CJ254">
    <cfRule type="dataBar" priority="1653">
      <dataBar>
        <cfvo type="min"/>
        <cfvo type="max"/>
        <color rgb="FFF08D5B"/>
      </dataBar>
    </cfRule>
  </conditionalFormatting>
  <conditionalFormatting sqref="CJ260:CJ268">
    <cfRule type="dataBar" priority="1722">
      <dataBar>
        <cfvo type="min"/>
        <cfvo type="max"/>
        <color rgb="FFF08D5B"/>
      </dataBar>
    </cfRule>
  </conditionalFormatting>
  <conditionalFormatting sqref="CJ274:CJ276">
    <cfRule type="dataBar" priority="1791">
      <dataBar>
        <cfvo type="min"/>
        <cfvo type="max"/>
        <color rgb="FFF08D5B"/>
      </dataBar>
    </cfRule>
  </conditionalFormatting>
  <conditionalFormatting sqref="CJ282:CJ287">
    <cfRule type="dataBar" priority="1860">
      <dataBar>
        <cfvo type="min"/>
        <cfvo type="max"/>
        <color rgb="FFF08D5B"/>
      </dataBar>
    </cfRule>
  </conditionalFormatting>
  <conditionalFormatting sqref="CJ293:CJ300">
    <cfRule type="dataBar" priority="1929">
      <dataBar>
        <cfvo type="min"/>
        <cfvo type="max"/>
        <color rgb="FFF08D5B"/>
      </dataBar>
    </cfRule>
  </conditionalFormatting>
  <conditionalFormatting sqref="CJ306:CJ313">
    <cfRule type="dataBar" priority="1998">
      <dataBar>
        <cfvo type="min"/>
        <cfvo type="max"/>
        <color rgb="FFF08D5B"/>
      </dataBar>
    </cfRule>
  </conditionalFormatting>
  <conditionalFormatting sqref="CL6:CL8">
    <cfRule type="dataBar" priority="67">
      <dataBar>
        <cfvo type="min"/>
        <cfvo type="max"/>
        <color rgb="FF628DC4"/>
      </dataBar>
    </cfRule>
  </conditionalFormatting>
  <conditionalFormatting sqref="CL14:CL16">
    <cfRule type="dataBar" priority="136">
      <dataBar>
        <cfvo type="min"/>
        <cfvo type="max"/>
        <color rgb="FF628DC4"/>
      </dataBar>
    </cfRule>
  </conditionalFormatting>
  <conditionalFormatting sqref="CL22:CL24">
    <cfRule type="dataBar" priority="205">
      <dataBar>
        <cfvo type="min"/>
        <cfvo type="max"/>
        <color rgb="FF628DC4"/>
      </dataBar>
    </cfRule>
  </conditionalFormatting>
  <conditionalFormatting sqref="CL30:CL36">
    <cfRule type="dataBar" priority="274">
      <dataBar>
        <cfvo type="min"/>
        <cfvo type="max"/>
        <color rgb="FF628DC4"/>
      </dataBar>
    </cfRule>
  </conditionalFormatting>
  <conditionalFormatting sqref="CL42:CL49">
    <cfRule type="dataBar" priority="343">
      <dataBar>
        <cfvo type="min"/>
        <cfvo type="max"/>
        <color rgb="FF628DC4"/>
      </dataBar>
    </cfRule>
  </conditionalFormatting>
  <conditionalFormatting sqref="CL55:CL58">
    <cfRule type="dataBar" priority="412">
      <dataBar>
        <cfvo type="min"/>
        <cfvo type="max"/>
        <color rgb="FF628DC4"/>
      </dataBar>
    </cfRule>
  </conditionalFormatting>
  <conditionalFormatting sqref="CL64:CL66">
    <cfRule type="dataBar" priority="481">
      <dataBar>
        <cfvo type="min"/>
        <cfvo type="max"/>
        <color rgb="FF628DC4"/>
      </dataBar>
    </cfRule>
  </conditionalFormatting>
  <conditionalFormatting sqref="CL72:CL78">
    <cfRule type="dataBar" priority="550">
      <dataBar>
        <cfvo type="min"/>
        <cfvo type="max"/>
        <color rgb="FF628DC4"/>
      </dataBar>
    </cfRule>
  </conditionalFormatting>
  <conditionalFormatting sqref="CL84:CL91">
    <cfRule type="dataBar" priority="619">
      <dataBar>
        <cfvo type="min"/>
        <cfvo type="max"/>
        <color rgb="FF628DC4"/>
      </dataBar>
    </cfRule>
  </conditionalFormatting>
  <conditionalFormatting sqref="CL97:CL100">
    <cfRule type="dataBar" priority="688">
      <dataBar>
        <cfvo type="min"/>
        <cfvo type="max"/>
        <color rgb="FF628DC4"/>
      </dataBar>
    </cfRule>
  </conditionalFormatting>
  <conditionalFormatting sqref="CL106:CL108">
    <cfRule type="dataBar" priority="757">
      <dataBar>
        <cfvo type="min"/>
        <cfvo type="max"/>
        <color rgb="FF628DC4"/>
      </dataBar>
    </cfRule>
  </conditionalFormatting>
  <conditionalFormatting sqref="CL114:CL120">
    <cfRule type="dataBar" priority="826">
      <dataBar>
        <cfvo type="min"/>
        <cfvo type="max"/>
        <color rgb="FF628DC4"/>
      </dataBar>
    </cfRule>
  </conditionalFormatting>
  <conditionalFormatting sqref="CL126:CL133">
    <cfRule type="dataBar" priority="895">
      <dataBar>
        <cfvo type="min"/>
        <cfvo type="max"/>
        <color rgb="FF628DC4"/>
      </dataBar>
    </cfRule>
  </conditionalFormatting>
  <conditionalFormatting sqref="CL139:CL142">
    <cfRule type="dataBar" priority="964">
      <dataBar>
        <cfvo type="min"/>
        <cfvo type="max"/>
        <color rgb="FF628DC4"/>
      </dataBar>
    </cfRule>
  </conditionalFormatting>
  <conditionalFormatting sqref="CL148:CL150">
    <cfRule type="dataBar" priority="1033">
      <dataBar>
        <cfvo type="min"/>
        <cfvo type="max"/>
        <color rgb="FF628DC4"/>
      </dataBar>
    </cfRule>
  </conditionalFormatting>
  <conditionalFormatting sqref="CL156:CL162">
    <cfRule type="dataBar" priority="1102">
      <dataBar>
        <cfvo type="min"/>
        <cfvo type="max"/>
        <color rgb="FF628DC4"/>
      </dataBar>
    </cfRule>
  </conditionalFormatting>
  <conditionalFormatting sqref="CL168:CL175">
    <cfRule type="dataBar" priority="1171">
      <dataBar>
        <cfvo type="min"/>
        <cfvo type="max"/>
        <color rgb="FF628DC4"/>
      </dataBar>
    </cfRule>
  </conditionalFormatting>
  <conditionalFormatting sqref="CL181:CL184">
    <cfRule type="dataBar" priority="1240">
      <dataBar>
        <cfvo type="min"/>
        <cfvo type="max"/>
        <color rgb="FF628DC4"/>
      </dataBar>
    </cfRule>
  </conditionalFormatting>
  <conditionalFormatting sqref="CL190:CL192">
    <cfRule type="dataBar" priority="1309">
      <dataBar>
        <cfvo type="min"/>
        <cfvo type="max"/>
        <color rgb="FF628DC4"/>
      </dataBar>
    </cfRule>
  </conditionalFormatting>
  <conditionalFormatting sqref="CL198:CL204">
    <cfRule type="dataBar" priority="1378">
      <dataBar>
        <cfvo type="min"/>
        <cfvo type="max"/>
        <color rgb="FF628DC4"/>
      </dataBar>
    </cfRule>
  </conditionalFormatting>
  <conditionalFormatting sqref="CL210:CL212">
    <cfRule type="dataBar" priority="1447">
      <dataBar>
        <cfvo type="min"/>
        <cfvo type="max"/>
        <color rgb="FF628DC4"/>
      </dataBar>
    </cfRule>
  </conditionalFormatting>
  <conditionalFormatting sqref="CL218:CL226">
    <cfRule type="dataBar" priority="1516">
      <dataBar>
        <cfvo type="min"/>
        <cfvo type="max"/>
        <color rgb="FF628DC4"/>
      </dataBar>
    </cfRule>
  </conditionalFormatting>
  <conditionalFormatting sqref="CL232:CL240">
    <cfRule type="dataBar" priority="1585">
      <dataBar>
        <cfvo type="min"/>
        <cfvo type="max"/>
        <color rgb="FF628DC4"/>
      </dataBar>
    </cfRule>
  </conditionalFormatting>
  <conditionalFormatting sqref="CL246:CL254">
    <cfRule type="dataBar" priority="1654">
      <dataBar>
        <cfvo type="min"/>
        <cfvo type="max"/>
        <color rgb="FF628DC4"/>
      </dataBar>
    </cfRule>
  </conditionalFormatting>
  <conditionalFormatting sqref="CL260:CL268">
    <cfRule type="dataBar" priority="1723">
      <dataBar>
        <cfvo type="min"/>
        <cfvo type="max"/>
        <color rgb="FF628DC4"/>
      </dataBar>
    </cfRule>
  </conditionalFormatting>
  <conditionalFormatting sqref="CL274:CL276">
    <cfRule type="dataBar" priority="1792">
      <dataBar>
        <cfvo type="min"/>
        <cfvo type="max"/>
        <color rgb="FF628DC4"/>
      </dataBar>
    </cfRule>
  </conditionalFormatting>
  <conditionalFormatting sqref="CL282:CL287">
    <cfRule type="dataBar" priority="1861">
      <dataBar>
        <cfvo type="min"/>
        <cfvo type="max"/>
        <color rgb="FF628DC4"/>
      </dataBar>
    </cfRule>
  </conditionalFormatting>
  <conditionalFormatting sqref="CL293:CL300">
    <cfRule type="dataBar" priority="1930">
      <dataBar>
        <cfvo type="min"/>
        <cfvo type="max"/>
        <color rgb="FF628DC4"/>
      </dataBar>
    </cfRule>
  </conditionalFormatting>
  <conditionalFormatting sqref="CL306:CL313">
    <cfRule type="dataBar" priority="1999">
      <dataBar>
        <cfvo type="min"/>
        <cfvo type="max"/>
        <color rgb="FF628DC4"/>
      </dataBar>
    </cfRule>
  </conditionalFormatting>
  <conditionalFormatting sqref="CM6:CM8">
    <cfRule type="dataBar" priority="68">
      <dataBar>
        <cfvo type="min"/>
        <cfvo type="max"/>
        <color rgb="FFFFB628"/>
      </dataBar>
    </cfRule>
  </conditionalFormatting>
  <conditionalFormatting sqref="CM14:CM16">
    <cfRule type="dataBar" priority="137">
      <dataBar>
        <cfvo type="min"/>
        <cfvo type="max"/>
        <color rgb="FFFFB628"/>
      </dataBar>
    </cfRule>
  </conditionalFormatting>
  <conditionalFormatting sqref="CM22:CM24">
    <cfRule type="dataBar" priority="206">
      <dataBar>
        <cfvo type="min"/>
        <cfvo type="max"/>
        <color rgb="FFFFB628"/>
      </dataBar>
    </cfRule>
  </conditionalFormatting>
  <conditionalFormatting sqref="CM30:CM36">
    <cfRule type="dataBar" priority="275">
      <dataBar>
        <cfvo type="min"/>
        <cfvo type="max"/>
        <color rgb="FFFFB628"/>
      </dataBar>
    </cfRule>
  </conditionalFormatting>
  <conditionalFormatting sqref="CM42:CM49">
    <cfRule type="dataBar" priority="344">
      <dataBar>
        <cfvo type="min"/>
        <cfvo type="max"/>
        <color rgb="FFFFB628"/>
      </dataBar>
    </cfRule>
  </conditionalFormatting>
  <conditionalFormatting sqref="CM55:CM58">
    <cfRule type="dataBar" priority="413">
      <dataBar>
        <cfvo type="min"/>
        <cfvo type="max"/>
        <color rgb="FFFFB628"/>
      </dataBar>
    </cfRule>
  </conditionalFormatting>
  <conditionalFormatting sqref="CM64:CM66">
    <cfRule type="dataBar" priority="482">
      <dataBar>
        <cfvo type="min"/>
        <cfvo type="max"/>
        <color rgb="FFFFB628"/>
      </dataBar>
    </cfRule>
  </conditionalFormatting>
  <conditionalFormatting sqref="CM72:CM78">
    <cfRule type="dataBar" priority="551">
      <dataBar>
        <cfvo type="min"/>
        <cfvo type="max"/>
        <color rgb="FFFFB628"/>
      </dataBar>
    </cfRule>
  </conditionalFormatting>
  <conditionalFormatting sqref="CM84:CM91">
    <cfRule type="dataBar" priority="620">
      <dataBar>
        <cfvo type="min"/>
        <cfvo type="max"/>
        <color rgb="FFFFB628"/>
      </dataBar>
    </cfRule>
  </conditionalFormatting>
  <conditionalFormatting sqref="CM97:CM100">
    <cfRule type="dataBar" priority="689">
      <dataBar>
        <cfvo type="min"/>
        <cfvo type="max"/>
        <color rgb="FFFFB628"/>
      </dataBar>
    </cfRule>
  </conditionalFormatting>
  <conditionalFormatting sqref="CM106:CM108">
    <cfRule type="dataBar" priority="758">
      <dataBar>
        <cfvo type="min"/>
        <cfvo type="max"/>
        <color rgb="FFFFB628"/>
      </dataBar>
    </cfRule>
  </conditionalFormatting>
  <conditionalFormatting sqref="CM114:CM120">
    <cfRule type="dataBar" priority="827">
      <dataBar>
        <cfvo type="min"/>
        <cfvo type="max"/>
        <color rgb="FFFFB628"/>
      </dataBar>
    </cfRule>
  </conditionalFormatting>
  <conditionalFormatting sqref="CM126:CM133">
    <cfRule type="dataBar" priority="896">
      <dataBar>
        <cfvo type="min"/>
        <cfvo type="max"/>
        <color rgb="FFFFB628"/>
      </dataBar>
    </cfRule>
  </conditionalFormatting>
  <conditionalFormatting sqref="CM139:CM142">
    <cfRule type="dataBar" priority="965">
      <dataBar>
        <cfvo type="min"/>
        <cfvo type="max"/>
        <color rgb="FFFFB628"/>
      </dataBar>
    </cfRule>
  </conditionalFormatting>
  <conditionalFormatting sqref="CM148:CM150">
    <cfRule type="dataBar" priority="1034">
      <dataBar>
        <cfvo type="min"/>
        <cfvo type="max"/>
        <color rgb="FFFFB628"/>
      </dataBar>
    </cfRule>
  </conditionalFormatting>
  <conditionalFormatting sqref="CM156:CM162">
    <cfRule type="dataBar" priority="1103">
      <dataBar>
        <cfvo type="min"/>
        <cfvo type="max"/>
        <color rgb="FFFFB628"/>
      </dataBar>
    </cfRule>
  </conditionalFormatting>
  <conditionalFormatting sqref="CM168:CM175">
    <cfRule type="dataBar" priority="1172">
      <dataBar>
        <cfvo type="min"/>
        <cfvo type="max"/>
        <color rgb="FFFFB628"/>
      </dataBar>
    </cfRule>
  </conditionalFormatting>
  <conditionalFormatting sqref="CM181:CM184">
    <cfRule type="dataBar" priority="1241">
      <dataBar>
        <cfvo type="min"/>
        <cfvo type="max"/>
        <color rgb="FFFFB628"/>
      </dataBar>
    </cfRule>
  </conditionalFormatting>
  <conditionalFormatting sqref="CM190:CM192">
    <cfRule type="dataBar" priority="1310">
      <dataBar>
        <cfvo type="min"/>
        <cfvo type="max"/>
        <color rgb="FFFFB628"/>
      </dataBar>
    </cfRule>
  </conditionalFormatting>
  <conditionalFormatting sqref="CM198:CM204">
    <cfRule type="dataBar" priority="1379">
      <dataBar>
        <cfvo type="min"/>
        <cfvo type="max"/>
        <color rgb="FFFFB628"/>
      </dataBar>
    </cfRule>
  </conditionalFormatting>
  <conditionalFormatting sqref="CM210:CM212">
    <cfRule type="dataBar" priority="1448">
      <dataBar>
        <cfvo type="min"/>
        <cfvo type="max"/>
        <color rgb="FFFFB628"/>
      </dataBar>
    </cfRule>
  </conditionalFormatting>
  <conditionalFormatting sqref="CM218:CM226">
    <cfRule type="dataBar" priority="1517">
      <dataBar>
        <cfvo type="min"/>
        <cfvo type="max"/>
        <color rgb="FFFFB628"/>
      </dataBar>
    </cfRule>
  </conditionalFormatting>
  <conditionalFormatting sqref="CM232:CM240">
    <cfRule type="dataBar" priority="1586">
      <dataBar>
        <cfvo type="min"/>
        <cfvo type="max"/>
        <color rgb="FFFFB628"/>
      </dataBar>
    </cfRule>
  </conditionalFormatting>
  <conditionalFormatting sqref="CM246:CM254">
    <cfRule type="dataBar" priority="1655">
      <dataBar>
        <cfvo type="min"/>
        <cfvo type="max"/>
        <color rgb="FFFFB628"/>
      </dataBar>
    </cfRule>
  </conditionalFormatting>
  <conditionalFormatting sqref="CM260:CM268">
    <cfRule type="dataBar" priority="1724">
      <dataBar>
        <cfvo type="min"/>
        <cfvo type="max"/>
        <color rgb="FFFFB628"/>
      </dataBar>
    </cfRule>
  </conditionalFormatting>
  <conditionalFormatting sqref="CM274:CM276">
    <cfRule type="dataBar" priority="1793">
      <dataBar>
        <cfvo type="min"/>
        <cfvo type="max"/>
        <color rgb="FFFFB628"/>
      </dataBar>
    </cfRule>
  </conditionalFormatting>
  <conditionalFormatting sqref="CM282:CM287">
    <cfRule type="dataBar" priority="1862">
      <dataBar>
        <cfvo type="min"/>
        <cfvo type="max"/>
        <color rgb="FFFFB628"/>
      </dataBar>
    </cfRule>
  </conditionalFormatting>
  <conditionalFormatting sqref="CM293:CM300">
    <cfRule type="dataBar" priority="1931">
      <dataBar>
        <cfvo type="min"/>
        <cfvo type="max"/>
        <color rgb="FFFFB628"/>
      </dataBar>
    </cfRule>
  </conditionalFormatting>
  <conditionalFormatting sqref="CM306:CM313">
    <cfRule type="dataBar" priority="2000">
      <dataBar>
        <cfvo type="min"/>
        <cfvo type="max"/>
        <color rgb="FFFFB628"/>
      </dataBar>
    </cfRule>
  </conditionalFormatting>
  <conditionalFormatting sqref="CN6:CN8">
    <cfRule type="dataBar" priority="69">
      <dataBar>
        <cfvo type="min"/>
        <cfvo type="max"/>
        <color rgb="FFF08D5B"/>
      </dataBar>
    </cfRule>
  </conditionalFormatting>
  <conditionalFormatting sqref="CN14:CN16">
    <cfRule type="dataBar" priority="138">
      <dataBar>
        <cfvo type="min"/>
        <cfvo type="max"/>
        <color rgb="FFF08D5B"/>
      </dataBar>
    </cfRule>
  </conditionalFormatting>
  <conditionalFormatting sqref="CN22:CN24">
    <cfRule type="dataBar" priority="207">
      <dataBar>
        <cfvo type="min"/>
        <cfvo type="max"/>
        <color rgb="FFF08D5B"/>
      </dataBar>
    </cfRule>
  </conditionalFormatting>
  <conditionalFormatting sqref="CN30:CN36">
    <cfRule type="dataBar" priority="276">
      <dataBar>
        <cfvo type="min"/>
        <cfvo type="max"/>
        <color rgb="FFF08D5B"/>
      </dataBar>
    </cfRule>
  </conditionalFormatting>
  <conditionalFormatting sqref="CN42:CN49">
    <cfRule type="dataBar" priority="345">
      <dataBar>
        <cfvo type="min"/>
        <cfvo type="max"/>
        <color rgb="FFF08D5B"/>
      </dataBar>
    </cfRule>
  </conditionalFormatting>
  <conditionalFormatting sqref="CN55:CN58">
    <cfRule type="dataBar" priority="414">
      <dataBar>
        <cfvo type="min"/>
        <cfvo type="max"/>
        <color rgb="FFF08D5B"/>
      </dataBar>
    </cfRule>
  </conditionalFormatting>
  <conditionalFormatting sqref="CN64:CN66">
    <cfRule type="dataBar" priority="483">
      <dataBar>
        <cfvo type="min"/>
        <cfvo type="max"/>
        <color rgb="FFF08D5B"/>
      </dataBar>
    </cfRule>
  </conditionalFormatting>
  <conditionalFormatting sqref="CN72:CN78">
    <cfRule type="dataBar" priority="552">
      <dataBar>
        <cfvo type="min"/>
        <cfvo type="max"/>
        <color rgb="FFF08D5B"/>
      </dataBar>
    </cfRule>
  </conditionalFormatting>
  <conditionalFormatting sqref="CN84:CN91">
    <cfRule type="dataBar" priority="621">
      <dataBar>
        <cfvo type="min"/>
        <cfvo type="max"/>
        <color rgb="FFF08D5B"/>
      </dataBar>
    </cfRule>
  </conditionalFormatting>
  <conditionalFormatting sqref="CN97:CN100">
    <cfRule type="dataBar" priority="690">
      <dataBar>
        <cfvo type="min"/>
        <cfvo type="max"/>
        <color rgb="FFF08D5B"/>
      </dataBar>
    </cfRule>
  </conditionalFormatting>
  <conditionalFormatting sqref="CN106:CN108">
    <cfRule type="dataBar" priority="759">
      <dataBar>
        <cfvo type="min"/>
        <cfvo type="max"/>
        <color rgb="FFF08D5B"/>
      </dataBar>
    </cfRule>
  </conditionalFormatting>
  <conditionalFormatting sqref="CN114:CN120">
    <cfRule type="dataBar" priority="828">
      <dataBar>
        <cfvo type="min"/>
        <cfvo type="max"/>
        <color rgb="FFF08D5B"/>
      </dataBar>
    </cfRule>
  </conditionalFormatting>
  <conditionalFormatting sqref="CN126:CN133">
    <cfRule type="dataBar" priority="897">
      <dataBar>
        <cfvo type="min"/>
        <cfvo type="max"/>
        <color rgb="FFF08D5B"/>
      </dataBar>
    </cfRule>
  </conditionalFormatting>
  <conditionalFormatting sqref="CN139:CN142">
    <cfRule type="dataBar" priority="966">
      <dataBar>
        <cfvo type="min"/>
        <cfvo type="max"/>
        <color rgb="FFF08D5B"/>
      </dataBar>
    </cfRule>
  </conditionalFormatting>
  <conditionalFormatting sqref="CN148:CN150">
    <cfRule type="dataBar" priority="1035">
      <dataBar>
        <cfvo type="min"/>
        <cfvo type="max"/>
        <color rgb="FFF08D5B"/>
      </dataBar>
    </cfRule>
  </conditionalFormatting>
  <conditionalFormatting sqref="CN156:CN162">
    <cfRule type="dataBar" priority="1104">
      <dataBar>
        <cfvo type="min"/>
        <cfvo type="max"/>
        <color rgb="FFF08D5B"/>
      </dataBar>
    </cfRule>
  </conditionalFormatting>
  <conditionalFormatting sqref="CN168:CN175">
    <cfRule type="dataBar" priority="1173">
      <dataBar>
        <cfvo type="min"/>
        <cfvo type="max"/>
        <color rgb="FFF08D5B"/>
      </dataBar>
    </cfRule>
  </conditionalFormatting>
  <conditionalFormatting sqref="CN181:CN184">
    <cfRule type="dataBar" priority="1242">
      <dataBar>
        <cfvo type="min"/>
        <cfvo type="max"/>
        <color rgb="FFF08D5B"/>
      </dataBar>
    </cfRule>
  </conditionalFormatting>
  <conditionalFormatting sqref="CN190:CN192">
    <cfRule type="dataBar" priority="1311">
      <dataBar>
        <cfvo type="min"/>
        <cfvo type="max"/>
        <color rgb="FFF08D5B"/>
      </dataBar>
    </cfRule>
  </conditionalFormatting>
  <conditionalFormatting sqref="CN198:CN204">
    <cfRule type="dataBar" priority="1380">
      <dataBar>
        <cfvo type="min"/>
        <cfvo type="max"/>
        <color rgb="FFF08D5B"/>
      </dataBar>
    </cfRule>
  </conditionalFormatting>
  <conditionalFormatting sqref="CN210:CN212">
    <cfRule type="dataBar" priority="1449">
      <dataBar>
        <cfvo type="min"/>
        <cfvo type="max"/>
        <color rgb="FFF08D5B"/>
      </dataBar>
    </cfRule>
  </conditionalFormatting>
  <conditionalFormatting sqref="CN218:CN226">
    <cfRule type="dataBar" priority="1518">
      <dataBar>
        <cfvo type="min"/>
        <cfvo type="max"/>
        <color rgb="FFF08D5B"/>
      </dataBar>
    </cfRule>
  </conditionalFormatting>
  <conditionalFormatting sqref="CN232:CN240">
    <cfRule type="dataBar" priority="1587">
      <dataBar>
        <cfvo type="min"/>
        <cfvo type="max"/>
        <color rgb="FFF08D5B"/>
      </dataBar>
    </cfRule>
  </conditionalFormatting>
  <conditionalFormatting sqref="CN246:CN254">
    <cfRule type="dataBar" priority="1656">
      <dataBar>
        <cfvo type="min"/>
        <cfvo type="max"/>
        <color rgb="FFF08D5B"/>
      </dataBar>
    </cfRule>
  </conditionalFormatting>
  <conditionalFormatting sqref="CN260:CN268">
    <cfRule type="dataBar" priority="1725">
      <dataBar>
        <cfvo type="min"/>
        <cfvo type="max"/>
        <color rgb="FFF08D5B"/>
      </dataBar>
    </cfRule>
  </conditionalFormatting>
  <conditionalFormatting sqref="CN274:CN276">
    <cfRule type="dataBar" priority="1794">
      <dataBar>
        <cfvo type="min"/>
        <cfvo type="max"/>
        <color rgb="FFF08D5B"/>
      </dataBar>
    </cfRule>
  </conditionalFormatting>
  <conditionalFormatting sqref="CN282:CN287">
    <cfRule type="dataBar" priority="1863">
      <dataBar>
        <cfvo type="min"/>
        <cfvo type="max"/>
        <color rgb="FFF08D5B"/>
      </dataBar>
    </cfRule>
  </conditionalFormatting>
  <conditionalFormatting sqref="CN293:CN300">
    <cfRule type="dataBar" priority="1932">
      <dataBar>
        <cfvo type="min"/>
        <cfvo type="max"/>
        <color rgb="FFF08D5B"/>
      </dataBar>
    </cfRule>
  </conditionalFormatting>
  <conditionalFormatting sqref="CN306:CN313">
    <cfRule type="dataBar" priority="2001">
      <dataBar>
        <cfvo type="min"/>
        <cfvo type="max"/>
        <color rgb="FFF08D5B"/>
      </dataBar>
    </cfRule>
  </conditionalFormatting>
  <conditionalFormatting sqref="B321:B370">
    <cfRule type="dataBar" priority="2758">
      <dataBar>
        <cfvo type="min"/>
        <cfvo type="max"/>
        <color rgb="FF628DC4"/>
      </dataBar>
    </cfRule>
  </conditionalFormatting>
  <conditionalFormatting sqref="C321:C370">
    <cfRule type="dataBar" priority="2760">
      <dataBar>
        <cfvo type="min"/>
        <cfvo type="max"/>
        <color rgb="FFFFB628"/>
      </dataBar>
    </cfRule>
  </conditionalFormatting>
  <conditionalFormatting sqref="D321:D370">
    <cfRule type="dataBar" priority="2762">
      <dataBar>
        <cfvo type="min"/>
        <cfvo type="max"/>
        <color rgb="FFF08D5B"/>
      </dataBar>
    </cfRule>
  </conditionalFormatting>
  <conditionalFormatting sqref="F321:F370">
    <cfRule type="dataBar" priority="2764">
      <dataBar>
        <cfvo type="min"/>
        <cfvo type="max"/>
        <color rgb="FF628DC4"/>
      </dataBar>
    </cfRule>
  </conditionalFormatting>
  <conditionalFormatting sqref="G321:G370">
    <cfRule type="dataBar" priority="2766">
      <dataBar>
        <cfvo type="min"/>
        <cfvo type="max"/>
        <color rgb="FFFFB628"/>
      </dataBar>
    </cfRule>
  </conditionalFormatting>
  <conditionalFormatting sqref="H321:H370">
    <cfRule type="dataBar" priority="2768">
      <dataBar>
        <cfvo type="min"/>
        <cfvo type="max"/>
        <color rgb="FFF08D5B"/>
      </dataBar>
    </cfRule>
  </conditionalFormatting>
  <conditionalFormatting sqref="J321:J370">
    <cfRule type="dataBar" priority="2770">
      <dataBar>
        <cfvo type="min"/>
        <cfvo type="max"/>
        <color rgb="FF628DC4"/>
      </dataBar>
    </cfRule>
  </conditionalFormatting>
  <conditionalFormatting sqref="K321:K370">
    <cfRule type="dataBar" priority="2772">
      <dataBar>
        <cfvo type="min"/>
        <cfvo type="max"/>
        <color rgb="FFFFB628"/>
      </dataBar>
    </cfRule>
  </conditionalFormatting>
  <conditionalFormatting sqref="L321:L370">
    <cfRule type="dataBar" priority="2774">
      <dataBar>
        <cfvo type="min"/>
        <cfvo type="max"/>
        <color rgb="FFF08D5B"/>
      </dataBar>
    </cfRule>
  </conditionalFormatting>
  <conditionalFormatting sqref="N321:N370">
    <cfRule type="dataBar" priority="2776">
      <dataBar>
        <cfvo type="min"/>
        <cfvo type="max"/>
        <color rgb="FF628DC4"/>
      </dataBar>
    </cfRule>
  </conditionalFormatting>
  <conditionalFormatting sqref="O321:O370">
    <cfRule type="dataBar" priority="2778">
      <dataBar>
        <cfvo type="min"/>
        <cfvo type="max"/>
        <color rgb="FFFFB628"/>
      </dataBar>
    </cfRule>
  </conditionalFormatting>
  <conditionalFormatting sqref="P321:P370">
    <cfRule type="dataBar" priority="2780">
      <dataBar>
        <cfvo type="min"/>
        <cfvo type="max"/>
        <color rgb="FFF08D5B"/>
      </dataBar>
    </cfRule>
  </conditionalFormatting>
  <conditionalFormatting sqref="R321:R370">
    <cfRule type="dataBar" priority="2782">
      <dataBar>
        <cfvo type="min"/>
        <cfvo type="max"/>
        <color rgb="FF628DC4"/>
      </dataBar>
    </cfRule>
  </conditionalFormatting>
  <conditionalFormatting sqref="S321:S370">
    <cfRule type="dataBar" priority="2784">
      <dataBar>
        <cfvo type="min"/>
        <cfvo type="max"/>
        <color rgb="FFFFB628"/>
      </dataBar>
    </cfRule>
  </conditionalFormatting>
  <conditionalFormatting sqref="T321:T370">
    <cfRule type="dataBar" priority="2786">
      <dataBar>
        <cfvo type="min"/>
        <cfvo type="max"/>
        <color rgb="FFF08D5B"/>
      </dataBar>
    </cfRule>
  </conditionalFormatting>
  <conditionalFormatting sqref="V321:V370">
    <cfRule type="dataBar" priority="2788">
      <dataBar>
        <cfvo type="min"/>
        <cfvo type="max"/>
        <color rgb="FF628DC4"/>
      </dataBar>
    </cfRule>
  </conditionalFormatting>
  <conditionalFormatting sqref="W321:W370">
    <cfRule type="dataBar" priority="2790">
      <dataBar>
        <cfvo type="min"/>
        <cfvo type="max"/>
        <color rgb="FFFFB628"/>
      </dataBar>
    </cfRule>
  </conditionalFormatting>
  <conditionalFormatting sqref="X321:X370">
    <cfRule type="dataBar" priority="2792">
      <dataBar>
        <cfvo type="min"/>
        <cfvo type="max"/>
        <color rgb="FFF08D5B"/>
      </dataBar>
    </cfRule>
  </conditionalFormatting>
  <conditionalFormatting sqref="Z321:Z370">
    <cfRule type="dataBar" priority="2794">
      <dataBar>
        <cfvo type="min"/>
        <cfvo type="max"/>
        <color rgb="FF628DC4"/>
      </dataBar>
    </cfRule>
  </conditionalFormatting>
  <conditionalFormatting sqref="AA321:AA370">
    <cfRule type="dataBar" priority="2796">
      <dataBar>
        <cfvo type="min"/>
        <cfvo type="max"/>
        <color rgb="FFFFB628"/>
      </dataBar>
    </cfRule>
  </conditionalFormatting>
  <conditionalFormatting sqref="AB321:AB370">
    <cfRule type="dataBar" priority="2798">
      <dataBar>
        <cfvo type="min"/>
        <cfvo type="max"/>
        <color rgb="FFF08D5B"/>
      </dataBar>
    </cfRule>
  </conditionalFormatting>
  <conditionalFormatting sqref="AD321:AD370">
    <cfRule type="dataBar" priority="2800">
      <dataBar>
        <cfvo type="min"/>
        <cfvo type="max"/>
        <color rgb="FF628DC4"/>
      </dataBar>
    </cfRule>
  </conditionalFormatting>
  <conditionalFormatting sqref="AE321:AE370">
    <cfRule type="dataBar" priority="2802">
      <dataBar>
        <cfvo type="min"/>
        <cfvo type="max"/>
        <color rgb="FFFFB628"/>
      </dataBar>
    </cfRule>
  </conditionalFormatting>
  <conditionalFormatting sqref="AF321:AF370">
    <cfRule type="dataBar" priority="2804">
      <dataBar>
        <cfvo type="min"/>
        <cfvo type="max"/>
        <color rgb="FFF08D5B"/>
      </dataBar>
    </cfRule>
  </conditionalFormatting>
  <conditionalFormatting sqref="AH321:AH370">
    <cfRule type="dataBar" priority="2806">
      <dataBar>
        <cfvo type="min"/>
        <cfvo type="max"/>
        <color rgb="FF628DC4"/>
      </dataBar>
    </cfRule>
  </conditionalFormatting>
  <conditionalFormatting sqref="AI321:AI370">
    <cfRule type="dataBar" priority="2808">
      <dataBar>
        <cfvo type="min"/>
        <cfvo type="max"/>
        <color rgb="FFFFB628"/>
      </dataBar>
    </cfRule>
  </conditionalFormatting>
  <conditionalFormatting sqref="AJ321:AJ370">
    <cfRule type="dataBar" priority="2810">
      <dataBar>
        <cfvo type="min"/>
        <cfvo type="max"/>
        <color rgb="FFF08D5B"/>
      </dataBar>
    </cfRule>
  </conditionalFormatting>
  <conditionalFormatting sqref="AL321:AL370">
    <cfRule type="dataBar" priority="2812">
      <dataBar>
        <cfvo type="min"/>
        <cfvo type="max"/>
        <color rgb="FF628DC4"/>
      </dataBar>
    </cfRule>
  </conditionalFormatting>
  <conditionalFormatting sqref="AM321:AM370">
    <cfRule type="dataBar" priority="2814">
      <dataBar>
        <cfvo type="min"/>
        <cfvo type="max"/>
        <color rgb="FFFFB628"/>
      </dataBar>
    </cfRule>
  </conditionalFormatting>
  <conditionalFormatting sqref="AN321:AN370">
    <cfRule type="dataBar" priority="2816">
      <dataBar>
        <cfvo type="min"/>
        <cfvo type="max"/>
        <color rgb="FFF08D5B"/>
      </dataBar>
    </cfRule>
  </conditionalFormatting>
  <conditionalFormatting sqref="AP321:AP370">
    <cfRule type="dataBar" priority="2818">
      <dataBar>
        <cfvo type="min"/>
        <cfvo type="max"/>
        <color rgb="FF628DC4"/>
      </dataBar>
    </cfRule>
  </conditionalFormatting>
  <conditionalFormatting sqref="AQ321:AQ370">
    <cfRule type="dataBar" priority="2820">
      <dataBar>
        <cfvo type="min"/>
        <cfvo type="max"/>
        <color rgb="FFFFB628"/>
      </dataBar>
    </cfRule>
  </conditionalFormatting>
  <conditionalFormatting sqref="AR321:AR370">
    <cfRule type="dataBar" priority="2822">
      <dataBar>
        <cfvo type="min"/>
        <cfvo type="max"/>
        <color rgb="FFF08D5B"/>
      </dataBar>
    </cfRule>
  </conditionalFormatting>
  <conditionalFormatting sqref="AT321:AT370">
    <cfRule type="dataBar" priority="2824">
      <dataBar>
        <cfvo type="min"/>
        <cfvo type="max"/>
        <color rgb="FF628DC4"/>
      </dataBar>
    </cfRule>
  </conditionalFormatting>
  <conditionalFormatting sqref="AU321:AU370">
    <cfRule type="dataBar" priority="2826">
      <dataBar>
        <cfvo type="min"/>
        <cfvo type="max"/>
        <color rgb="FFFFB628"/>
      </dataBar>
    </cfRule>
  </conditionalFormatting>
  <conditionalFormatting sqref="AV321:AV370">
    <cfRule type="dataBar" priority="2828">
      <dataBar>
        <cfvo type="min"/>
        <cfvo type="max"/>
        <color rgb="FFF08D5B"/>
      </dataBar>
    </cfRule>
  </conditionalFormatting>
  <conditionalFormatting sqref="AX321:AX370">
    <cfRule type="dataBar" priority="2830">
      <dataBar>
        <cfvo type="min"/>
        <cfvo type="max"/>
        <color rgb="FF628DC4"/>
      </dataBar>
    </cfRule>
  </conditionalFormatting>
  <conditionalFormatting sqref="AY321:AY370">
    <cfRule type="dataBar" priority="2832">
      <dataBar>
        <cfvo type="min"/>
        <cfvo type="max"/>
        <color rgb="FFFFB628"/>
      </dataBar>
    </cfRule>
  </conditionalFormatting>
  <conditionalFormatting sqref="AZ321:AZ370">
    <cfRule type="dataBar" priority="2834">
      <dataBar>
        <cfvo type="min"/>
        <cfvo type="max"/>
        <color rgb="FFF08D5B"/>
      </dataBar>
    </cfRule>
  </conditionalFormatting>
  <conditionalFormatting sqref="BB321:BB370">
    <cfRule type="dataBar" priority="2836">
      <dataBar>
        <cfvo type="min"/>
        <cfvo type="max"/>
        <color rgb="FF628DC4"/>
      </dataBar>
    </cfRule>
  </conditionalFormatting>
  <conditionalFormatting sqref="BC321:BC370">
    <cfRule type="dataBar" priority="2838">
      <dataBar>
        <cfvo type="min"/>
        <cfvo type="max"/>
        <color rgb="FFFFB628"/>
      </dataBar>
    </cfRule>
  </conditionalFormatting>
  <conditionalFormatting sqref="BD321:BD370">
    <cfRule type="dataBar" priority="2840">
      <dataBar>
        <cfvo type="min"/>
        <cfvo type="max"/>
        <color rgb="FFF08D5B"/>
      </dataBar>
    </cfRule>
  </conditionalFormatting>
  <conditionalFormatting sqref="BF321:BF370">
    <cfRule type="dataBar" priority="2842">
      <dataBar>
        <cfvo type="min"/>
        <cfvo type="max"/>
        <color rgb="FF628DC4"/>
      </dataBar>
    </cfRule>
  </conditionalFormatting>
  <conditionalFormatting sqref="BG321:BG370">
    <cfRule type="dataBar" priority="2844">
      <dataBar>
        <cfvo type="min"/>
        <cfvo type="max"/>
        <color rgb="FFFFB628"/>
      </dataBar>
    </cfRule>
  </conditionalFormatting>
  <conditionalFormatting sqref="BH321:BH370">
    <cfRule type="dataBar" priority="2846">
      <dataBar>
        <cfvo type="min"/>
        <cfvo type="max"/>
        <color rgb="FFF08D5B"/>
      </dataBar>
    </cfRule>
  </conditionalFormatting>
  <conditionalFormatting sqref="BJ321:BJ370">
    <cfRule type="dataBar" priority="2848">
      <dataBar>
        <cfvo type="min"/>
        <cfvo type="max"/>
        <color rgb="FF628DC4"/>
      </dataBar>
    </cfRule>
  </conditionalFormatting>
  <conditionalFormatting sqref="BK321:BK370">
    <cfRule type="dataBar" priority="2850">
      <dataBar>
        <cfvo type="min"/>
        <cfvo type="max"/>
        <color rgb="FFFFB628"/>
      </dataBar>
    </cfRule>
  </conditionalFormatting>
  <conditionalFormatting sqref="BL321:BL370">
    <cfRule type="dataBar" priority="2852">
      <dataBar>
        <cfvo type="min"/>
        <cfvo type="max"/>
        <color rgb="FFF08D5B"/>
      </dataBar>
    </cfRule>
  </conditionalFormatting>
  <conditionalFormatting sqref="BN321:BN370">
    <cfRule type="dataBar" priority="2854">
      <dataBar>
        <cfvo type="min"/>
        <cfvo type="max"/>
        <color rgb="FF628DC4"/>
      </dataBar>
    </cfRule>
  </conditionalFormatting>
  <conditionalFormatting sqref="BO321:BO370">
    <cfRule type="dataBar" priority="2856">
      <dataBar>
        <cfvo type="min"/>
        <cfvo type="max"/>
        <color rgb="FFFFB628"/>
      </dataBar>
    </cfRule>
  </conditionalFormatting>
  <conditionalFormatting sqref="BP321:BP370">
    <cfRule type="dataBar" priority="2858">
      <dataBar>
        <cfvo type="min"/>
        <cfvo type="max"/>
        <color rgb="FFF08D5B"/>
      </dataBar>
    </cfRule>
  </conditionalFormatting>
  <conditionalFormatting sqref="BR321:BR370">
    <cfRule type="dataBar" priority="2860">
      <dataBar>
        <cfvo type="min"/>
        <cfvo type="max"/>
        <color rgb="FF628DC4"/>
      </dataBar>
    </cfRule>
  </conditionalFormatting>
  <conditionalFormatting sqref="BS321:BS370">
    <cfRule type="dataBar" priority="2862">
      <dataBar>
        <cfvo type="min"/>
        <cfvo type="max"/>
        <color rgb="FFFFB628"/>
      </dataBar>
    </cfRule>
  </conditionalFormatting>
  <conditionalFormatting sqref="BT321:BT370">
    <cfRule type="dataBar" priority="2864">
      <dataBar>
        <cfvo type="min"/>
        <cfvo type="max"/>
        <color rgb="FFF08D5B"/>
      </dataBar>
    </cfRule>
  </conditionalFormatting>
  <conditionalFormatting sqref="BV321:BV370">
    <cfRule type="dataBar" priority="2866">
      <dataBar>
        <cfvo type="min"/>
        <cfvo type="max"/>
        <color rgb="FF628DC4"/>
      </dataBar>
    </cfRule>
  </conditionalFormatting>
  <conditionalFormatting sqref="BW321:BW370">
    <cfRule type="dataBar" priority="2868">
      <dataBar>
        <cfvo type="min"/>
        <cfvo type="max"/>
        <color rgb="FFFFB628"/>
      </dataBar>
    </cfRule>
  </conditionalFormatting>
  <conditionalFormatting sqref="BX321:BX370">
    <cfRule type="dataBar" priority="2870">
      <dataBar>
        <cfvo type="min"/>
        <cfvo type="max"/>
        <color rgb="FFF08D5B"/>
      </dataBar>
    </cfRule>
  </conditionalFormatting>
  <conditionalFormatting sqref="BZ321:BZ370">
    <cfRule type="dataBar" priority="2872">
      <dataBar>
        <cfvo type="min"/>
        <cfvo type="max"/>
        <color rgb="FF628DC4"/>
      </dataBar>
    </cfRule>
  </conditionalFormatting>
  <conditionalFormatting sqref="CA321:CA370">
    <cfRule type="dataBar" priority="2874">
      <dataBar>
        <cfvo type="min"/>
        <cfvo type="max"/>
        <color rgb="FFFFB628"/>
      </dataBar>
    </cfRule>
  </conditionalFormatting>
  <conditionalFormatting sqref="CB321:CB370">
    <cfRule type="dataBar" priority="2876">
      <dataBar>
        <cfvo type="min"/>
        <cfvo type="max"/>
        <color rgb="FFF08D5B"/>
      </dataBar>
    </cfRule>
  </conditionalFormatting>
  <conditionalFormatting sqref="CD321:CD370">
    <cfRule type="dataBar" priority="2878">
      <dataBar>
        <cfvo type="min"/>
        <cfvo type="max"/>
        <color rgb="FF628DC4"/>
      </dataBar>
    </cfRule>
  </conditionalFormatting>
  <conditionalFormatting sqref="CE321:CE370">
    <cfRule type="dataBar" priority="2880">
      <dataBar>
        <cfvo type="min"/>
        <cfvo type="max"/>
        <color rgb="FFFFB628"/>
      </dataBar>
    </cfRule>
  </conditionalFormatting>
  <conditionalFormatting sqref="CF321:CF370">
    <cfRule type="dataBar" priority="2882">
      <dataBar>
        <cfvo type="min"/>
        <cfvo type="max"/>
        <color rgb="FFF08D5B"/>
      </dataBar>
    </cfRule>
  </conditionalFormatting>
  <conditionalFormatting sqref="CH321:CH370">
    <cfRule type="dataBar" priority="2884">
      <dataBar>
        <cfvo type="min"/>
        <cfvo type="max"/>
        <color rgb="FF628DC4"/>
      </dataBar>
    </cfRule>
  </conditionalFormatting>
  <conditionalFormatting sqref="CI321:CI370">
    <cfRule type="dataBar" priority="2886">
      <dataBar>
        <cfvo type="min"/>
        <cfvo type="max"/>
        <color rgb="FFFFB628"/>
      </dataBar>
    </cfRule>
  </conditionalFormatting>
  <conditionalFormatting sqref="CJ321:CJ370">
    <cfRule type="dataBar" priority="2888">
      <dataBar>
        <cfvo type="min"/>
        <cfvo type="max"/>
        <color rgb="FFF08D5B"/>
      </dataBar>
    </cfRule>
  </conditionalFormatting>
  <conditionalFormatting sqref="CL321:CL370">
    <cfRule type="dataBar" priority="2890">
      <dataBar>
        <cfvo type="min"/>
        <cfvo type="max"/>
        <color rgb="FF628DC4"/>
      </dataBar>
    </cfRule>
  </conditionalFormatting>
  <conditionalFormatting sqref="CM321:CM370">
    <cfRule type="dataBar" priority="2892">
      <dataBar>
        <cfvo type="min"/>
        <cfvo type="max"/>
        <color rgb="FFFFB628"/>
      </dataBar>
    </cfRule>
  </conditionalFormatting>
  <conditionalFormatting sqref="CN321:CN370">
    <cfRule type="dataBar" priority="2894">
      <dataBar>
        <cfvo type="min"/>
        <cfvo type="max"/>
        <color rgb="FFF08D5B"/>
      </dataBar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2"/>
  <sheetViews>
    <sheetView workbookViewId="0"/>
  </sheetViews>
  <sheetFormatPr defaultRowHeight="15" x14ac:dyDescent="0.25"/>
  <cols>
    <col min="1" max="4" width="30.7109375" customWidth="1"/>
  </cols>
  <sheetData>
    <row r="1" spans="1:2" s="3" customFormat="1" x14ac:dyDescent="0.25">
      <c r="A1" s="9" t="str">
        <f>HYPERLINK("#Tabulka!A22","Kterou **značku** si vybavíte, když vidíte tuto osobnost?")</f>
        <v>Kterou **značku** si vybavíte, když vidíte tuto osobnost?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  <c r="B4" t="s">
        <v>20</v>
      </c>
    </row>
    <row r="5" spans="1:2" x14ac:dyDescent="0.25">
      <c r="A5" t="s">
        <v>21</v>
      </c>
    </row>
    <row r="6" spans="1:2" x14ac:dyDescent="0.25">
      <c r="A6" t="s">
        <v>22</v>
      </c>
    </row>
    <row r="7" spans="1:2" x14ac:dyDescent="0.25">
      <c r="A7" t="s">
        <v>23</v>
      </c>
    </row>
    <row r="8" spans="1:2" x14ac:dyDescent="0.25">
      <c r="A8" t="s">
        <v>24</v>
      </c>
    </row>
    <row r="9" spans="1:2" x14ac:dyDescent="0.25">
      <c r="A9" t="s">
        <v>25</v>
      </c>
    </row>
    <row r="10" spans="1:2" x14ac:dyDescent="0.25">
      <c r="A10" t="s">
        <v>26</v>
      </c>
    </row>
    <row r="11" spans="1:2" x14ac:dyDescent="0.25">
      <c r="A11" t="s">
        <v>27</v>
      </c>
    </row>
    <row r="12" spans="1:2" x14ac:dyDescent="0.25">
      <c r="A12" t="s">
        <v>28</v>
      </c>
    </row>
    <row r="13" spans="1:2" x14ac:dyDescent="0.25">
      <c r="A13" t="s">
        <v>29</v>
      </c>
    </row>
    <row r="14" spans="1:2" x14ac:dyDescent="0.25">
      <c r="A14" t="s">
        <v>30</v>
      </c>
    </row>
    <row r="15" spans="1:2" x14ac:dyDescent="0.25">
      <c r="A15" t="s">
        <v>31</v>
      </c>
    </row>
    <row r="16" spans="1:2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32</v>
      </c>
    </row>
    <row r="26" spans="1:1" x14ac:dyDescent="0.25">
      <c r="A26" t="s">
        <v>32</v>
      </c>
    </row>
    <row r="27" spans="1:1" x14ac:dyDescent="0.25">
      <c r="A27" t="s">
        <v>41</v>
      </c>
    </row>
    <row r="28" spans="1:1" x14ac:dyDescent="0.25">
      <c r="A28" t="s">
        <v>42</v>
      </c>
    </row>
    <row r="29" spans="1:1" x14ac:dyDescent="0.25">
      <c r="A29" t="s">
        <v>43</v>
      </c>
    </row>
    <row r="30" spans="1:1" x14ac:dyDescent="0.25">
      <c r="A30" t="s">
        <v>44</v>
      </c>
    </row>
    <row r="31" spans="1:1" x14ac:dyDescent="0.25">
      <c r="A31" t="s">
        <v>45</v>
      </c>
    </row>
    <row r="32" spans="1:1" x14ac:dyDescent="0.25">
      <c r="A32" t="s">
        <v>46</v>
      </c>
    </row>
    <row r="33" spans="1:3" x14ac:dyDescent="0.25">
      <c r="A33" t="s">
        <v>26</v>
      </c>
    </row>
    <row r="34" spans="1:3" x14ac:dyDescent="0.25">
      <c r="A34" t="s">
        <v>38</v>
      </c>
    </row>
    <row r="35" spans="1:3" x14ac:dyDescent="0.25">
      <c r="A35" t="s">
        <v>47</v>
      </c>
    </row>
    <row r="36" spans="1:3" x14ac:dyDescent="0.25">
      <c r="A36" t="s">
        <v>48</v>
      </c>
      <c r="B36" t="s">
        <v>49</v>
      </c>
      <c r="C36" t="s">
        <v>50</v>
      </c>
    </row>
    <row r="37" spans="1:3" x14ac:dyDescent="0.25">
      <c r="A37" t="s">
        <v>51</v>
      </c>
    </row>
    <row r="38" spans="1:3" x14ac:dyDescent="0.25">
      <c r="A38" t="s">
        <v>52</v>
      </c>
    </row>
    <row r="39" spans="1:3" x14ac:dyDescent="0.25">
      <c r="A39" t="s">
        <v>53</v>
      </c>
    </row>
    <row r="40" spans="1:3" x14ac:dyDescent="0.25">
      <c r="A40" t="s">
        <v>42</v>
      </c>
    </row>
    <row r="41" spans="1:3" x14ac:dyDescent="0.25">
      <c r="A41" t="s">
        <v>26</v>
      </c>
    </row>
    <row r="42" spans="1:3" x14ac:dyDescent="0.25">
      <c r="A42" t="s">
        <v>46</v>
      </c>
    </row>
    <row r="43" spans="1:3" x14ac:dyDescent="0.25">
      <c r="A43" t="s">
        <v>54</v>
      </c>
    </row>
    <row r="44" spans="1:3" x14ac:dyDescent="0.25">
      <c r="A44" t="s">
        <v>55</v>
      </c>
    </row>
    <row r="45" spans="1:3" x14ac:dyDescent="0.25">
      <c r="A45" t="s">
        <v>19</v>
      </c>
    </row>
    <row r="46" spans="1:3" x14ac:dyDescent="0.25">
      <c r="A46" t="s">
        <v>31</v>
      </c>
    </row>
    <row r="47" spans="1:3" x14ac:dyDescent="0.25">
      <c r="A47" t="s">
        <v>56</v>
      </c>
    </row>
    <row r="48" spans="1:3" x14ac:dyDescent="0.25">
      <c r="A48" t="s">
        <v>26</v>
      </c>
    </row>
    <row r="49" spans="1:2" x14ac:dyDescent="0.25">
      <c r="A49" t="s">
        <v>20</v>
      </c>
    </row>
    <row r="50" spans="1:2" x14ac:dyDescent="0.25">
      <c r="A50" t="s">
        <v>23</v>
      </c>
    </row>
    <row r="51" spans="1:2" x14ac:dyDescent="0.25">
      <c r="A51" t="s">
        <v>57</v>
      </c>
    </row>
    <row r="52" spans="1:2" x14ac:dyDescent="0.25">
      <c r="A52" t="s">
        <v>58</v>
      </c>
      <c r="B52" t="s">
        <v>59</v>
      </c>
    </row>
    <row r="53" spans="1:2" x14ac:dyDescent="0.25">
      <c r="A53" t="s">
        <v>36</v>
      </c>
    </row>
    <row r="54" spans="1:2" x14ac:dyDescent="0.25">
      <c r="A54" t="s">
        <v>60</v>
      </c>
      <c r="B54" t="s">
        <v>61</v>
      </c>
    </row>
    <row r="55" spans="1:2" x14ac:dyDescent="0.25">
      <c r="A55" t="s">
        <v>62</v>
      </c>
    </row>
    <row r="56" spans="1:2" x14ac:dyDescent="0.25">
      <c r="A56" t="s">
        <v>31</v>
      </c>
    </row>
    <row r="57" spans="1:2" x14ac:dyDescent="0.25">
      <c r="A57" t="s">
        <v>21</v>
      </c>
    </row>
    <row r="58" spans="1:2" x14ac:dyDescent="0.25">
      <c r="A58" t="s">
        <v>63</v>
      </c>
    </row>
    <row r="59" spans="1:2" x14ac:dyDescent="0.25">
      <c r="A59" t="s">
        <v>26</v>
      </c>
    </row>
    <row r="60" spans="1:2" x14ac:dyDescent="0.25">
      <c r="A60" t="s">
        <v>64</v>
      </c>
    </row>
    <row r="61" spans="1:2" x14ac:dyDescent="0.25">
      <c r="A61" t="s">
        <v>65</v>
      </c>
    </row>
    <row r="62" spans="1:2" x14ac:dyDescent="0.25">
      <c r="A62" t="s">
        <v>31</v>
      </c>
    </row>
    <row r="63" spans="1:2" x14ac:dyDescent="0.25">
      <c r="A63" t="s">
        <v>66</v>
      </c>
      <c r="B63" t="s">
        <v>67</v>
      </c>
    </row>
    <row r="64" spans="1:2" x14ac:dyDescent="0.25">
      <c r="A64" t="s">
        <v>68</v>
      </c>
    </row>
    <row r="65" spans="1:2" x14ac:dyDescent="0.25">
      <c r="A65" t="s">
        <v>69</v>
      </c>
    </row>
    <row r="66" spans="1:2" x14ac:dyDescent="0.25">
      <c r="A66" t="s">
        <v>70</v>
      </c>
      <c r="B66" t="s">
        <v>51</v>
      </c>
    </row>
    <row r="67" spans="1:2" x14ac:dyDescent="0.25">
      <c r="A67" t="s">
        <v>34</v>
      </c>
    </row>
    <row r="68" spans="1:2" x14ac:dyDescent="0.25">
      <c r="A68" t="s">
        <v>71</v>
      </c>
    </row>
    <row r="69" spans="1:2" x14ac:dyDescent="0.25">
      <c r="A69" t="s">
        <v>32</v>
      </c>
    </row>
    <row r="70" spans="1:2" x14ac:dyDescent="0.25">
      <c r="A70" t="s">
        <v>72</v>
      </c>
    </row>
    <row r="71" spans="1:2" x14ac:dyDescent="0.25">
      <c r="A71" t="s">
        <v>20</v>
      </c>
    </row>
    <row r="72" spans="1:2" x14ac:dyDescent="0.25">
      <c r="A72" t="s">
        <v>73</v>
      </c>
    </row>
    <row r="73" spans="1:2" x14ac:dyDescent="0.25">
      <c r="A73" t="s">
        <v>74</v>
      </c>
    </row>
    <row r="74" spans="1:2" x14ac:dyDescent="0.25">
      <c r="A74" t="s">
        <v>23</v>
      </c>
    </row>
    <row r="75" spans="1:2" x14ac:dyDescent="0.25">
      <c r="A75" t="s">
        <v>75</v>
      </c>
    </row>
    <row r="76" spans="1:2" x14ac:dyDescent="0.25">
      <c r="A76" t="s">
        <v>75</v>
      </c>
    </row>
    <row r="77" spans="1:2" x14ac:dyDescent="0.25">
      <c r="A77" t="s">
        <v>76</v>
      </c>
    </row>
    <row r="78" spans="1:2" x14ac:dyDescent="0.25">
      <c r="A78" t="s">
        <v>26</v>
      </c>
    </row>
    <row r="79" spans="1:2" x14ac:dyDescent="0.25">
      <c r="A79" t="s">
        <v>32</v>
      </c>
    </row>
    <row r="80" spans="1:2" x14ac:dyDescent="0.25">
      <c r="A80" t="s">
        <v>77</v>
      </c>
    </row>
    <row r="81" spans="1:2" x14ac:dyDescent="0.25">
      <c r="A81" t="s">
        <v>78</v>
      </c>
    </row>
    <row r="82" spans="1:2" x14ac:dyDescent="0.25">
      <c r="A82" t="s">
        <v>20</v>
      </c>
      <c r="B82" t="s">
        <v>36</v>
      </c>
    </row>
    <row r="83" spans="1:2" x14ac:dyDescent="0.25">
      <c r="A83" t="s">
        <v>79</v>
      </c>
    </row>
    <row r="84" spans="1:2" x14ac:dyDescent="0.25">
      <c r="A84" t="s">
        <v>72</v>
      </c>
    </row>
    <row r="85" spans="1:2" x14ac:dyDescent="0.25">
      <c r="A85" t="s">
        <v>31</v>
      </c>
    </row>
    <row r="86" spans="1:2" x14ac:dyDescent="0.25">
      <c r="A86" t="s">
        <v>31</v>
      </c>
    </row>
    <row r="87" spans="1:2" x14ac:dyDescent="0.25">
      <c r="A87" t="s">
        <v>80</v>
      </c>
    </row>
    <row r="88" spans="1:2" x14ac:dyDescent="0.25">
      <c r="A88" t="s">
        <v>81</v>
      </c>
    </row>
    <row r="89" spans="1:2" x14ac:dyDescent="0.25">
      <c r="A89" t="s">
        <v>20</v>
      </c>
    </row>
    <row r="90" spans="1:2" x14ac:dyDescent="0.25">
      <c r="A90" t="s">
        <v>37</v>
      </c>
    </row>
    <row r="91" spans="1:2" x14ac:dyDescent="0.25">
      <c r="A91" t="s">
        <v>82</v>
      </c>
    </row>
    <row r="92" spans="1:2" x14ac:dyDescent="0.25">
      <c r="A92" t="s">
        <v>34</v>
      </c>
    </row>
    <row r="93" spans="1:2" x14ac:dyDescent="0.25">
      <c r="A93" t="s">
        <v>83</v>
      </c>
    </row>
    <row r="94" spans="1:2" x14ac:dyDescent="0.25">
      <c r="A94" t="s">
        <v>23</v>
      </c>
      <c r="B94" t="s">
        <v>32</v>
      </c>
    </row>
    <row r="95" spans="1:2" x14ac:dyDescent="0.25">
      <c r="A95" t="s">
        <v>84</v>
      </c>
    </row>
    <row r="96" spans="1:2" x14ac:dyDescent="0.25">
      <c r="A96" t="s">
        <v>85</v>
      </c>
    </row>
    <row r="97" spans="1:2" x14ac:dyDescent="0.25">
      <c r="A97" t="s">
        <v>78</v>
      </c>
    </row>
    <row r="98" spans="1:2" x14ac:dyDescent="0.25">
      <c r="A98" t="s">
        <v>26</v>
      </c>
    </row>
    <row r="99" spans="1:2" x14ac:dyDescent="0.25">
      <c r="A99" t="s">
        <v>86</v>
      </c>
    </row>
    <row r="100" spans="1:2" x14ac:dyDescent="0.25">
      <c r="A100" t="s">
        <v>32</v>
      </c>
    </row>
    <row r="101" spans="1:2" x14ac:dyDescent="0.25">
      <c r="A101" t="s">
        <v>87</v>
      </c>
    </row>
    <row r="102" spans="1:2" x14ac:dyDescent="0.25">
      <c r="A102" t="s">
        <v>30</v>
      </c>
    </row>
    <row r="103" spans="1:2" x14ac:dyDescent="0.25">
      <c r="A103" t="s">
        <v>88</v>
      </c>
    </row>
    <row r="104" spans="1:2" x14ac:dyDescent="0.25">
      <c r="A104" t="s">
        <v>89</v>
      </c>
      <c r="B104" t="s">
        <v>90</v>
      </c>
    </row>
    <row r="105" spans="1:2" x14ac:dyDescent="0.25">
      <c r="A105" t="s">
        <v>91</v>
      </c>
    </row>
    <row r="106" spans="1:2" x14ac:dyDescent="0.25">
      <c r="A106" t="s">
        <v>92</v>
      </c>
    </row>
    <row r="107" spans="1:2" x14ac:dyDescent="0.25">
      <c r="A107" t="s">
        <v>26</v>
      </c>
    </row>
    <row r="108" spans="1:2" x14ac:dyDescent="0.25">
      <c r="A108" t="s">
        <v>39</v>
      </c>
    </row>
    <row r="109" spans="1:2" x14ac:dyDescent="0.25">
      <c r="A109" t="s">
        <v>93</v>
      </c>
    </row>
    <row r="110" spans="1:2" x14ac:dyDescent="0.25">
      <c r="A110" t="s">
        <v>39</v>
      </c>
      <c r="B110" t="s">
        <v>42</v>
      </c>
    </row>
    <row r="111" spans="1:2" x14ac:dyDescent="0.25">
      <c r="A111" t="s">
        <v>23</v>
      </c>
    </row>
    <row r="112" spans="1:2" x14ac:dyDescent="0.25">
      <c r="A112" t="s">
        <v>47</v>
      </c>
    </row>
    <row r="113" spans="1:2" x14ac:dyDescent="0.25">
      <c r="A113" t="s">
        <v>94</v>
      </c>
    </row>
    <row r="114" spans="1:2" x14ac:dyDescent="0.25">
      <c r="A114" t="s">
        <v>87</v>
      </c>
    </row>
    <row r="115" spans="1:2" x14ac:dyDescent="0.25">
      <c r="A115" t="s">
        <v>23</v>
      </c>
    </row>
    <row r="116" spans="1:2" x14ac:dyDescent="0.25">
      <c r="A116" t="s">
        <v>95</v>
      </c>
    </row>
    <row r="117" spans="1:2" x14ac:dyDescent="0.25">
      <c r="A117" t="s">
        <v>96</v>
      </c>
    </row>
    <row r="118" spans="1:2" x14ac:dyDescent="0.25">
      <c r="A118" t="s">
        <v>97</v>
      </c>
    </row>
    <row r="119" spans="1:2" x14ac:dyDescent="0.25">
      <c r="A119" t="s">
        <v>38</v>
      </c>
      <c r="B119" t="s">
        <v>98</v>
      </c>
    </row>
    <row r="120" spans="1:2" x14ac:dyDescent="0.25">
      <c r="A120" t="s">
        <v>99</v>
      </c>
    </row>
    <row r="121" spans="1:2" x14ac:dyDescent="0.25">
      <c r="A121" t="s">
        <v>100</v>
      </c>
    </row>
    <row r="122" spans="1:2" x14ac:dyDescent="0.25">
      <c r="A122" t="s">
        <v>78</v>
      </c>
    </row>
    <row r="123" spans="1:2" x14ac:dyDescent="0.25">
      <c r="A123" t="s">
        <v>101</v>
      </c>
      <c r="B123" t="s">
        <v>20</v>
      </c>
    </row>
    <row r="124" spans="1:2" x14ac:dyDescent="0.25">
      <c r="A124" t="s">
        <v>53</v>
      </c>
    </row>
    <row r="125" spans="1:2" x14ac:dyDescent="0.25">
      <c r="A125" t="s">
        <v>102</v>
      </c>
    </row>
    <row r="126" spans="1:2" x14ac:dyDescent="0.25">
      <c r="A126" t="s">
        <v>78</v>
      </c>
    </row>
    <row r="127" spans="1:2" x14ac:dyDescent="0.25">
      <c r="A127" t="s">
        <v>103</v>
      </c>
    </row>
    <row r="128" spans="1:2" x14ac:dyDescent="0.25">
      <c r="A128" t="s">
        <v>23</v>
      </c>
    </row>
    <row r="129" spans="1:3" x14ac:dyDescent="0.25">
      <c r="A129" t="s">
        <v>104</v>
      </c>
    </row>
    <row r="130" spans="1:3" x14ac:dyDescent="0.25">
      <c r="A130" t="s">
        <v>23</v>
      </c>
    </row>
    <row r="131" spans="1:3" x14ac:dyDescent="0.25">
      <c r="A131" t="s">
        <v>39</v>
      </c>
    </row>
    <row r="132" spans="1:3" x14ac:dyDescent="0.25">
      <c r="A132" t="s">
        <v>105</v>
      </c>
    </row>
    <row r="133" spans="1:3" x14ac:dyDescent="0.25">
      <c r="A133" t="s">
        <v>23</v>
      </c>
    </row>
    <row r="134" spans="1:3" x14ac:dyDescent="0.25">
      <c r="A134" t="s">
        <v>53</v>
      </c>
    </row>
    <row r="135" spans="1:3" x14ac:dyDescent="0.25">
      <c r="A135" t="s">
        <v>106</v>
      </c>
      <c r="B135" t="s">
        <v>107</v>
      </c>
    </row>
    <row r="136" spans="1:3" x14ac:dyDescent="0.25">
      <c r="A136" t="s">
        <v>108</v>
      </c>
    </row>
    <row r="137" spans="1:3" x14ac:dyDescent="0.25">
      <c r="A137" t="s">
        <v>78</v>
      </c>
    </row>
    <row r="138" spans="1:3" x14ac:dyDescent="0.25">
      <c r="A138" t="s">
        <v>109</v>
      </c>
    </row>
    <row r="139" spans="1:3" x14ac:dyDescent="0.25">
      <c r="A139" t="s">
        <v>21</v>
      </c>
      <c r="B139" t="s">
        <v>110</v>
      </c>
      <c r="C139" t="s">
        <v>38</v>
      </c>
    </row>
    <row r="140" spans="1:3" x14ac:dyDescent="0.25">
      <c r="A140" t="s">
        <v>111</v>
      </c>
    </row>
    <row r="141" spans="1:3" x14ac:dyDescent="0.25">
      <c r="A141" t="s">
        <v>82</v>
      </c>
    </row>
    <row r="142" spans="1:3" x14ac:dyDescent="0.25">
      <c r="A142" t="s">
        <v>112</v>
      </c>
    </row>
    <row r="143" spans="1:3" x14ac:dyDescent="0.25">
      <c r="A143" t="s">
        <v>32</v>
      </c>
    </row>
    <row r="144" spans="1:3" x14ac:dyDescent="0.25">
      <c r="A144" t="s">
        <v>53</v>
      </c>
    </row>
    <row r="145" spans="1:2" x14ac:dyDescent="0.25">
      <c r="A145" t="s">
        <v>19</v>
      </c>
    </row>
    <row r="146" spans="1:2" x14ac:dyDescent="0.25">
      <c r="A146" t="s">
        <v>113</v>
      </c>
    </row>
    <row r="147" spans="1:2" x14ac:dyDescent="0.25">
      <c r="A147" t="s">
        <v>98</v>
      </c>
      <c r="B147" t="s">
        <v>114</v>
      </c>
    </row>
    <row r="148" spans="1:2" x14ac:dyDescent="0.25">
      <c r="A148" t="s">
        <v>32</v>
      </c>
    </row>
    <row r="149" spans="1:2" x14ac:dyDescent="0.25">
      <c r="A149" t="s">
        <v>75</v>
      </c>
    </row>
    <row r="150" spans="1:2" x14ac:dyDescent="0.25">
      <c r="A150" t="s">
        <v>115</v>
      </c>
    </row>
    <row r="151" spans="1:2" x14ac:dyDescent="0.25">
      <c r="A151" t="s">
        <v>116</v>
      </c>
    </row>
    <row r="152" spans="1:2" x14ac:dyDescent="0.25">
      <c r="A152" t="s">
        <v>117</v>
      </c>
      <c r="B152" t="s">
        <v>95</v>
      </c>
    </row>
    <row r="153" spans="1:2" x14ac:dyDescent="0.25">
      <c r="A153" t="s">
        <v>34</v>
      </c>
    </row>
    <row r="154" spans="1:2" x14ac:dyDescent="0.25">
      <c r="A154" t="s">
        <v>19</v>
      </c>
    </row>
    <row r="155" spans="1:2" x14ac:dyDescent="0.25">
      <c r="A155" t="s">
        <v>84</v>
      </c>
    </row>
    <row r="156" spans="1:2" x14ac:dyDescent="0.25">
      <c r="A156" t="s">
        <v>118</v>
      </c>
    </row>
    <row r="157" spans="1:2" x14ac:dyDescent="0.25">
      <c r="A157" t="s">
        <v>53</v>
      </c>
    </row>
    <row r="158" spans="1:2" x14ac:dyDescent="0.25">
      <c r="A158" t="s">
        <v>119</v>
      </c>
    </row>
    <row r="159" spans="1:2" x14ac:dyDescent="0.25">
      <c r="A159" t="s">
        <v>51</v>
      </c>
    </row>
    <row r="160" spans="1:2" x14ac:dyDescent="0.25">
      <c r="A160" t="s">
        <v>36</v>
      </c>
    </row>
    <row r="161" spans="1:1" x14ac:dyDescent="0.25">
      <c r="A161" t="s">
        <v>120</v>
      </c>
    </row>
    <row r="162" spans="1:1" x14ac:dyDescent="0.25">
      <c r="A162" t="s">
        <v>72</v>
      </c>
    </row>
    <row r="163" spans="1:1" x14ac:dyDescent="0.25">
      <c r="A163" t="s">
        <v>32</v>
      </c>
    </row>
    <row r="164" spans="1:1" x14ac:dyDescent="0.25">
      <c r="A164" t="s">
        <v>38</v>
      </c>
    </row>
    <row r="165" spans="1:1" x14ac:dyDescent="0.25">
      <c r="A165" t="s">
        <v>26</v>
      </c>
    </row>
    <row r="166" spans="1:1" x14ac:dyDescent="0.25">
      <c r="A166" t="s">
        <v>21</v>
      </c>
    </row>
    <row r="167" spans="1:1" x14ac:dyDescent="0.25">
      <c r="A167" t="s">
        <v>42</v>
      </c>
    </row>
    <row r="168" spans="1:1" x14ac:dyDescent="0.25">
      <c r="A168" t="s">
        <v>121</v>
      </c>
    </row>
    <row r="169" spans="1:1" x14ac:dyDescent="0.25">
      <c r="A169" t="s">
        <v>21</v>
      </c>
    </row>
    <row r="170" spans="1:1" x14ac:dyDescent="0.25">
      <c r="A170" t="s">
        <v>122</v>
      </c>
    </row>
    <row r="171" spans="1:1" x14ac:dyDescent="0.25">
      <c r="A171" t="s">
        <v>123</v>
      </c>
    </row>
    <row r="172" spans="1:1" x14ac:dyDescent="0.25">
      <c r="A172" t="s">
        <v>124</v>
      </c>
    </row>
    <row r="173" spans="1:1" x14ac:dyDescent="0.25">
      <c r="A173" t="s">
        <v>125</v>
      </c>
    </row>
    <row r="174" spans="1:1" x14ac:dyDescent="0.25">
      <c r="A174" t="s">
        <v>37</v>
      </c>
    </row>
    <row r="175" spans="1:1" x14ac:dyDescent="0.25">
      <c r="A175" t="s">
        <v>111</v>
      </c>
    </row>
    <row r="176" spans="1:1" x14ac:dyDescent="0.25">
      <c r="A176" t="s">
        <v>126</v>
      </c>
    </row>
    <row r="177" spans="1:1" x14ac:dyDescent="0.25">
      <c r="A177" t="s">
        <v>127</v>
      </c>
    </row>
    <row r="178" spans="1:1" x14ac:dyDescent="0.25">
      <c r="A178" t="s">
        <v>47</v>
      </c>
    </row>
    <row r="179" spans="1:1" x14ac:dyDescent="0.25">
      <c r="A179" t="s">
        <v>19</v>
      </c>
    </row>
    <row r="180" spans="1:1" x14ac:dyDescent="0.25">
      <c r="A180" t="s">
        <v>128</v>
      </c>
    </row>
    <row r="181" spans="1:1" x14ac:dyDescent="0.25">
      <c r="A181" t="s">
        <v>82</v>
      </c>
    </row>
    <row r="182" spans="1:1" x14ac:dyDescent="0.25">
      <c r="A182" t="s">
        <v>129</v>
      </c>
    </row>
    <row r="183" spans="1:1" x14ac:dyDescent="0.25">
      <c r="A183" t="s">
        <v>19</v>
      </c>
    </row>
    <row r="184" spans="1:1" x14ac:dyDescent="0.25">
      <c r="A184" t="s">
        <v>21</v>
      </c>
    </row>
    <row r="185" spans="1:1" x14ac:dyDescent="0.25">
      <c r="A185" t="s">
        <v>130</v>
      </c>
    </row>
    <row r="186" spans="1:1" x14ac:dyDescent="0.25">
      <c r="A186" t="s">
        <v>131</v>
      </c>
    </row>
    <row r="187" spans="1:1" x14ac:dyDescent="0.25">
      <c r="A187" t="s">
        <v>47</v>
      </c>
    </row>
    <row r="188" spans="1:1" x14ac:dyDescent="0.25">
      <c r="A188" t="s">
        <v>72</v>
      </c>
    </row>
    <row r="189" spans="1:1" x14ac:dyDescent="0.25">
      <c r="A189" t="s">
        <v>132</v>
      </c>
    </row>
    <row r="190" spans="1:1" x14ac:dyDescent="0.25">
      <c r="A190" t="s">
        <v>133</v>
      </c>
    </row>
    <row r="191" spans="1:1" x14ac:dyDescent="0.25">
      <c r="A191" t="s">
        <v>134</v>
      </c>
    </row>
    <row r="192" spans="1:1" x14ac:dyDescent="0.25">
      <c r="A192" t="s">
        <v>31</v>
      </c>
    </row>
    <row r="193" spans="1:1" x14ac:dyDescent="0.25">
      <c r="A193" t="s">
        <v>31</v>
      </c>
    </row>
    <row r="194" spans="1:1" x14ac:dyDescent="0.25">
      <c r="A194" t="s">
        <v>23</v>
      </c>
    </row>
    <row r="195" spans="1:1" x14ac:dyDescent="0.25">
      <c r="A195" t="s">
        <v>20</v>
      </c>
    </row>
    <row r="196" spans="1:1" x14ac:dyDescent="0.25">
      <c r="A196" t="s">
        <v>135</v>
      </c>
    </row>
    <row r="197" spans="1:1" x14ac:dyDescent="0.25">
      <c r="A197" t="s">
        <v>136</v>
      </c>
    </row>
    <row r="198" spans="1:1" x14ac:dyDescent="0.25">
      <c r="A198" t="s">
        <v>31</v>
      </c>
    </row>
    <row r="199" spans="1:1" x14ac:dyDescent="0.25">
      <c r="A199" t="s">
        <v>137</v>
      </c>
    </row>
    <row r="200" spans="1:1" x14ac:dyDescent="0.25">
      <c r="A200" t="s">
        <v>21</v>
      </c>
    </row>
    <row r="201" spans="1:1" x14ac:dyDescent="0.25">
      <c r="A201" t="s">
        <v>20</v>
      </c>
    </row>
    <row r="202" spans="1:1" x14ac:dyDescent="0.25">
      <c r="A202" t="s">
        <v>51</v>
      </c>
    </row>
    <row r="203" spans="1:1" x14ac:dyDescent="0.25">
      <c r="A203" t="s">
        <v>31</v>
      </c>
    </row>
    <row r="204" spans="1:1" x14ac:dyDescent="0.25">
      <c r="A204" t="s">
        <v>138</v>
      </c>
    </row>
    <row r="205" spans="1:1" x14ac:dyDescent="0.25">
      <c r="A205" t="s">
        <v>128</v>
      </c>
    </row>
    <row r="206" spans="1:1" x14ac:dyDescent="0.25">
      <c r="A206" t="s">
        <v>111</v>
      </c>
    </row>
    <row r="207" spans="1:1" x14ac:dyDescent="0.25">
      <c r="A207" t="s">
        <v>21</v>
      </c>
    </row>
    <row r="208" spans="1:1" x14ac:dyDescent="0.25">
      <c r="A208" t="s">
        <v>40</v>
      </c>
    </row>
    <row r="209" spans="1:2" x14ac:dyDescent="0.25">
      <c r="A209" t="s">
        <v>139</v>
      </c>
    </row>
    <row r="210" spans="1:2" x14ac:dyDescent="0.25">
      <c r="A210" t="s">
        <v>23</v>
      </c>
      <c r="B210" t="s">
        <v>31</v>
      </c>
    </row>
    <row r="211" spans="1:2" x14ac:dyDescent="0.25">
      <c r="A211" t="s">
        <v>96</v>
      </c>
    </row>
    <row r="212" spans="1:2" x14ac:dyDescent="0.25">
      <c r="A212" t="s">
        <v>140</v>
      </c>
    </row>
    <row r="213" spans="1:2" x14ac:dyDescent="0.25">
      <c r="A213" t="s">
        <v>141</v>
      </c>
    </row>
    <row r="214" spans="1:2" x14ac:dyDescent="0.25">
      <c r="A214" t="s">
        <v>32</v>
      </c>
    </row>
    <row r="215" spans="1:2" x14ac:dyDescent="0.25">
      <c r="A215" t="s">
        <v>78</v>
      </c>
    </row>
    <row r="216" spans="1:2" x14ac:dyDescent="0.25">
      <c r="A216" t="s">
        <v>142</v>
      </c>
    </row>
    <row r="217" spans="1:2" x14ac:dyDescent="0.25">
      <c r="A217" t="s">
        <v>51</v>
      </c>
    </row>
    <row r="218" spans="1:2" x14ac:dyDescent="0.25">
      <c r="A218" t="s">
        <v>20</v>
      </c>
    </row>
    <row r="219" spans="1:2" x14ac:dyDescent="0.25">
      <c r="A219" t="s">
        <v>42</v>
      </c>
      <c r="B219" t="s">
        <v>143</v>
      </c>
    </row>
    <row r="220" spans="1:2" x14ac:dyDescent="0.25">
      <c r="A220" t="s">
        <v>86</v>
      </c>
    </row>
    <row r="221" spans="1:2" x14ac:dyDescent="0.25">
      <c r="A221" t="s">
        <v>144</v>
      </c>
    </row>
    <row r="222" spans="1:2" x14ac:dyDescent="0.25">
      <c r="A222" t="s">
        <v>31</v>
      </c>
    </row>
    <row r="223" spans="1:2" x14ac:dyDescent="0.25">
      <c r="A223" t="s">
        <v>20</v>
      </c>
    </row>
    <row r="224" spans="1:2" x14ac:dyDescent="0.25">
      <c r="A224" t="s">
        <v>111</v>
      </c>
    </row>
    <row r="225" spans="1:1" x14ac:dyDescent="0.25">
      <c r="A225" t="s">
        <v>145</v>
      </c>
    </row>
    <row r="226" spans="1:1" x14ac:dyDescent="0.25">
      <c r="A226" t="s">
        <v>20</v>
      </c>
    </row>
    <row r="227" spans="1:1" x14ac:dyDescent="0.25">
      <c r="A227" t="s">
        <v>46</v>
      </c>
    </row>
    <row r="228" spans="1:1" x14ac:dyDescent="0.25">
      <c r="A228" t="s">
        <v>146</v>
      </c>
    </row>
    <row r="229" spans="1:1" x14ac:dyDescent="0.25">
      <c r="A229" t="s">
        <v>78</v>
      </c>
    </row>
    <row r="230" spans="1:1" x14ac:dyDescent="0.25">
      <c r="A230" t="s">
        <v>37</v>
      </c>
    </row>
    <row r="231" spans="1:1" x14ac:dyDescent="0.25">
      <c r="A231" t="s">
        <v>147</v>
      </c>
    </row>
    <row r="232" spans="1:1" x14ac:dyDescent="0.25">
      <c r="A232" t="s">
        <v>111</v>
      </c>
    </row>
    <row r="233" spans="1:1" x14ac:dyDescent="0.25">
      <c r="A233" t="s">
        <v>95</v>
      </c>
    </row>
    <row r="234" spans="1:1" x14ac:dyDescent="0.25">
      <c r="A234" t="s">
        <v>148</v>
      </c>
    </row>
    <row r="235" spans="1:1" x14ac:dyDescent="0.25">
      <c r="A235" t="s">
        <v>78</v>
      </c>
    </row>
    <row r="236" spans="1:1" x14ac:dyDescent="0.25">
      <c r="A236" t="s">
        <v>149</v>
      </c>
    </row>
    <row r="237" spans="1:1" x14ac:dyDescent="0.25">
      <c r="A237" t="s">
        <v>26</v>
      </c>
    </row>
    <row r="238" spans="1:1" x14ac:dyDescent="0.25">
      <c r="A238" t="s">
        <v>150</v>
      </c>
    </row>
    <row r="239" spans="1:1" x14ac:dyDescent="0.25">
      <c r="A239" t="s">
        <v>151</v>
      </c>
    </row>
    <row r="240" spans="1:1" x14ac:dyDescent="0.25">
      <c r="A240" t="s">
        <v>75</v>
      </c>
    </row>
    <row r="241" spans="1:2" x14ac:dyDescent="0.25">
      <c r="A241" t="s">
        <v>152</v>
      </c>
    </row>
    <row r="242" spans="1:2" x14ac:dyDescent="0.25">
      <c r="A242" t="s">
        <v>153</v>
      </c>
    </row>
    <row r="243" spans="1:2" x14ac:dyDescent="0.25">
      <c r="A243" t="s">
        <v>154</v>
      </c>
    </row>
    <row r="244" spans="1:2" x14ac:dyDescent="0.25">
      <c r="A244" t="s">
        <v>121</v>
      </c>
    </row>
    <row r="245" spans="1:2" x14ac:dyDescent="0.25">
      <c r="A245" t="s">
        <v>155</v>
      </c>
    </row>
    <row r="246" spans="1:2" x14ac:dyDescent="0.25">
      <c r="A246" t="s">
        <v>19</v>
      </c>
    </row>
    <row r="247" spans="1:2" x14ac:dyDescent="0.25">
      <c r="A247" t="s">
        <v>21</v>
      </c>
    </row>
    <row r="248" spans="1:2" x14ac:dyDescent="0.25">
      <c r="A248" t="s">
        <v>156</v>
      </c>
    </row>
    <row r="249" spans="1:2" x14ac:dyDescent="0.25">
      <c r="A249" t="s">
        <v>21</v>
      </c>
    </row>
    <row r="250" spans="1:2" x14ac:dyDescent="0.25">
      <c r="A250" t="s">
        <v>90</v>
      </c>
    </row>
    <row r="251" spans="1:2" x14ac:dyDescent="0.25">
      <c r="A251" t="s">
        <v>75</v>
      </c>
      <c r="B251" t="s">
        <v>87</v>
      </c>
    </row>
    <row r="252" spans="1:2" x14ac:dyDescent="0.25">
      <c r="A252" t="s">
        <v>157</v>
      </c>
    </row>
    <row r="253" spans="1:2" x14ac:dyDescent="0.25">
      <c r="A253" t="s">
        <v>158</v>
      </c>
    </row>
    <row r="254" spans="1:2" x14ac:dyDescent="0.25">
      <c r="A254" t="s">
        <v>37</v>
      </c>
    </row>
    <row r="255" spans="1:2" x14ac:dyDescent="0.25">
      <c r="A255" t="s">
        <v>159</v>
      </c>
    </row>
    <row r="256" spans="1:2" x14ac:dyDescent="0.25">
      <c r="A256" t="s">
        <v>111</v>
      </c>
    </row>
    <row r="257" spans="1:1" x14ac:dyDescent="0.25">
      <c r="A257" t="s">
        <v>160</v>
      </c>
    </row>
    <row r="258" spans="1:1" x14ac:dyDescent="0.25">
      <c r="A258" t="s">
        <v>70</v>
      </c>
    </row>
    <row r="259" spans="1:1" x14ac:dyDescent="0.25">
      <c r="A259" t="s">
        <v>75</v>
      </c>
    </row>
    <row r="260" spans="1:1" x14ac:dyDescent="0.25">
      <c r="A260" t="s">
        <v>161</v>
      </c>
    </row>
    <row r="261" spans="1:1" x14ac:dyDescent="0.25">
      <c r="A261" t="s">
        <v>162</v>
      </c>
    </row>
    <row r="262" spans="1:1" x14ac:dyDescent="0.25">
      <c r="A262" t="s">
        <v>163</v>
      </c>
    </row>
    <row r="263" spans="1:1" x14ac:dyDescent="0.25">
      <c r="A263" t="s">
        <v>23</v>
      </c>
    </row>
    <row r="264" spans="1:1" x14ac:dyDescent="0.25">
      <c r="A264" t="s">
        <v>164</v>
      </c>
    </row>
    <row r="265" spans="1:1" x14ac:dyDescent="0.25">
      <c r="A265" t="s">
        <v>32</v>
      </c>
    </row>
    <row r="266" spans="1:1" x14ac:dyDescent="0.25">
      <c r="A266" t="s">
        <v>165</v>
      </c>
    </row>
    <row r="267" spans="1:1" x14ac:dyDescent="0.25">
      <c r="A267" t="s">
        <v>42</v>
      </c>
    </row>
    <row r="268" spans="1:1" x14ac:dyDescent="0.25">
      <c r="A268" t="s">
        <v>31</v>
      </c>
    </row>
    <row r="269" spans="1:1" x14ac:dyDescent="0.25">
      <c r="A269" t="s">
        <v>166</v>
      </c>
    </row>
    <row r="270" spans="1:1" x14ac:dyDescent="0.25">
      <c r="A270" t="s">
        <v>32</v>
      </c>
    </row>
    <row r="271" spans="1:1" x14ac:dyDescent="0.25">
      <c r="A271" t="s">
        <v>31</v>
      </c>
    </row>
    <row r="272" spans="1:1" x14ac:dyDescent="0.25">
      <c r="A272" t="s">
        <v>42</v>
      </c>
    </row>
    <row r="273" spans="1:1" x14ac:dyDescent="0.25">
      <c r="A273" t="s">
        <v>167</v>
      </c>
    </row>
    <row r="274" spans="1:1" x14ac:dyDescent="0.25">
      <c r="A274" t="s">
        <v>168</v>
      </c>
    </row>
    <row r="275" spans="1:1" x14ac:dyDescent="0.25">
      <c r="A275" t="s">
        <v>82</v>
      </c>
    </row>
    <row r="276" spans="1:1" x14ac:dyDescent="0.25">
      <c r="A276" t="s">
        <v>78</v>
      </c>
    </row>
    <row r="277" spans="1:1" x14ac:dyDescent="0.25">
      <c r="A277" t="s">
        <v>32</v>
      </c>
    </row>
    <row r="278" spans="1:1" x14ac:dyDescent="0.25">
      <c r="A278" t="s">
        <v>169</v>
      </c>
    </row>
    <row r="279" spans="1:1" x14ac:dyDescent="0.25">
      <c r="A279" t="s">
        <v>26</v>
      </c>
    </row>
    <row r="280" spans="1:1" x14ac:dyDescent="0.25">
      <c r="A280" t="s">
        <v>72</v>
      </c>
    </row>
    <row r="281" spans="1:1" x14ac:dyDescent="0.25">
      <c r="A281" t="s">
        <v>78</v>
      </c>
    </row>
    <row r="282" spans="1:1" x14ac:dyDescent="0.25">
      <c r="A282" t="s">
        <v>39</v>
      </c>
    </row>
    <row r="283" spans="1:1" x14ac:dyDescent="0.25">
      <c r="A283" t="s">
        <v>23</v>
      </c>
    </row>
    <row r="284" spans="1:1" x14ac:dyDescent="0.25">
      <c r="A284" t="s">
        <v>103</v>
      </c>
    </row>
    <row r="285" spans="1:1" x14ac:dyDescent="0.25">
      <c r="A285" t="s">
        <v>170</v>
      </c>
    </row>
    <row r="286" spans="1:1" x14ac:dyDescent="0.25">
      <c r="A286" t="s">
        <v>34</v>
      </c>
    </row>
    <row r="287" spans="1:1" x14ac:dyDescent="0.25">
      <c r="A287" t="s">
        <v>32</v>
      </c>
    </row>
    <row r="288" spans="1:1" x14ac:dyDescent="0.25">
      <c r="A288" t="s">
        <v>171</v>
      </c>
    </row>
    <row r="289" spans="1:1" x14ac:dyDescent="0.25">
      <c r="A289" t="s">
        <v>47</v>
      </c>
    </row>
    <row r="290" spans="1:1" x14ac:dyDescent="0.25">
      <c r="A290" t="s">
        <v>21</v>
      </c>
    </row>
    <row r="291" spans="1:1" x14ac:dyDescent="0.25">
      <c r="A291" t="s">
        <v>32</v>
      </c>
    </row>
    <row r="292" spans="1:1" x14ac:dyDescent="0.25">
      <c r="A292" t="s">
        <v>31</v>
      </c>
    </row>
    <row r="293" spans="1:1" x14ac:dyDescent="0.25">
      <c r="A293" t="s">
        <v>172</v>
      </c>
    </row>
    <row r="294" spans="1:1" x14ac:dyDescent="0.25">
      <c r="A294" t="s">
        <v>20</v>
      </c>
    </row>
    <row r="295" spans="1:1" x14ac:dyDescent="0.25">
      <c r="A295" t="s">
        <v>78</v>
      </c>
    </row>
    <row r="296" spans="1:1" x14ac:dyDescent="0.25">
      <c r="A296" t="s">
        <v>23</v>
      </c>
    </row>
    <row r="297" spans="1:1" x14ac:dyDescent="0.25">
      <c r="A297" t="s">
        <v>19</v>
      </c>
    </row>
    <row r="298" spans="1:1" x14ac:dyDescent="0.25">
      <c r="A298" t="s">
        <v>173</v>
      </c>
    </row>
    <row r="299" spans="1:1" x14ac:dyDescent="0.25">
      <c r="A299" t="s">
        <v>76</v>
      </c>
    </row>
    <row r="300" spans="1:1" x14ac:dyDescent="0.25">
      <c r="A300" t="s">
        <v>174</v>
      </c>
    </row>
    <row r="301" spans="1:1" x14ac:dyDescent="0.25">
      <c r="A301" t="s">
        <v>175</v>
      </c>
    </row>
    <row r="302" spans="1:1" x14ac:dyDescent="0.25">
      <c r="A302" t="s">
        <v>176</v>
      </c>
    </row>
    <row r="303" spans="1:1" x14ac:dyDescent="0.25">
      <c r="A303" t="s">
        <v>177</v>
      </c>
    </row>
    <row r="304" spans="1:1" x14ac:dyDescent="0.25">
      <c r="A304" t="s">
        <v>136</v>
      </c>
    </row>
    <row r="305" spans="1:2" x14ac:dyDescent="0.25">
      <c r="A305" t="s">
        <v>31</v>
      </c>
    </row>
    <row r="306" spans="1:2" x14ac:dyDescent="0.25">
      <c r="A306" t="s">
        <v>31</v>
      </c>
    </row>
    <row r="307" spans="1:2" x14ac:dyDescent="0.25">
      <c r="A307" t="s">
        <v>178</v>
      </c>
    </row>
    <row r="308" spans="1:2" x14ac:dyDescent="0.25">
      <c r="A308" t="s">
        <v>31</v>
      </c>
    </row>
    <row r="309" spans="1:2" x14ac:dyDescent="0.25">
      <c r="A309" t="s">
        <v>179</v>
      </c>
    </row>
    <row r="310" spans="1:2" x14ac:dyDescent="0.25">
      <c r="A310" t="s">
        <v>31</v>
      </c>
      <c r="B310" t="s">
        <v>180</v>
      </c>
    </row>
    <row r="311" spans="1:2" x14ac:dyDescent="0.25">
      <c r="A311" t="s">
        <v>21</v>
      </c>
    </row>
    <row r="312" spans="1:2" x14ac:dyDescent="0.25">
      <c r="A312" t="s">
        <v>181</v>
      </c>
    </row>
    <row r="313" spans="1:2" x14ac:dyDescent="0.25">
      <c r="A313" t="s">
        <v>32</v>
      </c>
    </row>
    <row r="314" spans="1:2" x14ac:dyDescent="0.25">
      <c r="A314" t="s">
        <v>60</v>
      </c>
    </row>
    <row r="315" spans="1:2" x14ac:dyDescent="0.25">
      <c r="A315" t="s">
        <v>23</v>
      </c>
    </row>
    <row r="316" spans="1:2" x14ac:dyDescent="0.25">
      <c r="A316" t="s">
        <v>182</v>
      </c>
    </row>
    <row r="317" spans="1:2" x14ac:dyDescent="0.25">
      <c r="A317" t="s">
        <v>171</v>
      </c>
    </row>
    <row r="318" spans="1:2" x14ac:dyDescent="0.25">
      <c r="A318" t="s">
        <v>96</v>
      </c>
    </row>
    <row r="319" spans="1:2" x14ac:dyDescent="0.25">
      <c r="A319" t="s">
        <v>96</v>
      </c>
    </row>
    <row r="320" spans="1:2" x14ac:dyDescent="0.25">
      <c r="A320" t="s">
        <v>23</v>
      </c>
    </row>
    <row r="321" spans="1:1" x14ac:dyDescent="0.25">
      <c r="A321" t="s">
        <v>34</v>
      </c>
    </row>
    <row r="322" spans="1:1" x14ac:dyDescent="0.25">
      <c r="A322" t="s">
        <v>183</v>
      </c>
    </row>
    <row r="323" spans="1:1" x14ac:dyDescent="0.25">
      <c r="A323" t="s">
        <v>184</v>
      </c>
    </row>
    <row r="324" spans="1:1" x14ac:dyDescent="0.25">
      <c r="A324" t="s">
        <v>185</v>
      </c>
    </row>
    <row r="325" spans="1:1" x14ac:dyDescent="0.25">
      <c r="A325" t="s">
        <v>20</v>
      </c>
    </row>
    <row r="326" spans="1:1" x14ac:dyDescent="0.25">
      <c r="A326" t="s">
        <v>19</v>
      </c>
    </row>
    <row r="327" spans="1:1" x14ac:dyDescent="0.25">
      <c r="A327" t="s">
        <v>139</v>
      </c>
    </row>
    <row r="328" spans="1:1" x14ac:dyDescent="0.25">
      <c r="A328" t="s">
        <v>111</v>
      </c>
    </row>
    <row r="329" spans="1:1" x14ac:dyDescent="0.25">
      <c r="A329" t="s">
        <v>186</v>
      </c>
    </row>
    <row r="330" spans="1:1" x14ac:dyDescent="0.25">
      <c r="A330" t="s">
        <v>22</v>
      </c>
    </row>
    <row r="331" spans="1:1" x14ac:dyDescent="0.25">
      <c r="A331" t="s">
        <v>26</v>
      </c>
    </row>
    <row r="332" spans="1:1" x14ac:dyDescent="0.25">
      <c r="A332" t="s">
        <v>34</v>
      </c>
    </row>
    <row r="333" spans="1:1" x14ac:dyDescent="0.25">
      <c r="A333" t="s">
        <v>187</v>
      </c>
    </row>
    <row r="334" spans="1:1" x14ac:dyDescent="0.25">
      <c r="A334" t="s">
        <v>78</v>
      </c>
    </row>
    <row r="335" spans="1:1" x14ac:dyDescent="0.25">
      <c r="A335" t="s">
        <v>188</v>
      </c>
    </row>
    <row r="336" spans="1:1" x14ac:dyDescent="0.25">
      <c r="A336" t="s">
        <v>26</v>
      </c>
    </row>
    <row r="337" spans="1:1" x14ac:dyDescent="0.25">
      <c r="A337" t="s">
        <v>36</v>
      </c>
    </row>
    <row r="338" spans="1:1" x14ac:dyDescent="0.25">
      <c r="A338" t="s">
        <v>22</v>
      </c>
    </row>
    <row r="339" spans="1:1" x14ac:dyDescent="0.25">
      <c r="A339" t="s">
        <v>46</v>
      </c>
    </row>
    <row r="340" spans="1:1" x14ac:dyDescent="0.25">
      <c r="A340" t="s">
        <v>96</v>
      </c>
    </row>
    <row r="341" spans="1:1" x14ac:dyDescent="0.25">
      <c r="A341" t="s">
        <v>38</v>
      </c>
    </row>
    <row r="342" spans="1:1" x14ac:dyDescent="0.25">
      <c r="A342" t="s">
        <v>189</v>
      </c>
    </row>
    <row r="343" spans="1:1" x14ac:dyDescent="0.25">
      <c r="A343" t="s">
        <v>190</v>
      </c>
    </row>
    <row r="344" spans="1:1" x14ac:dyDescent="0.25">
      <c r="A344" t="s">
        <v>191</v>
      </c>
    </row>
    <row r="345" spans="1:1" x14ac:dyDescent="0.25">
      <c r="A345" t="s">
        <v>151</v>
      </c>
    </row>
    <row r="346" spans="1:1" x14ac:dyDescent="0.25">
      <c r="A346" t="s">
        <v>192</v>
      </c>
    </row>
    <row r="347" spans="1:1" x14ac:dyDescent="0.25">
      <c r="A347" t="s">
        <v>23</v>
      </c>
    </row>
    <row r="348" spans="1:1" x14ac:dyDescent="0.25">
      <c r="A348" t="s">
        <v>193</v>
      </c>
    </row>
    <row r="349" spans="1:1" x14ac:dyDescent="0.25">
      <c r="A349" t="s">
        <v>36</v>
      </c>
    </row>
    <row r="350" spans="1:1" x14ac:dyDescent="0.25">
      <c r="A350" t="s">
        <v>21</v>
      </c>
    </row>
    <row r="351" spans="1:1" x14ac:dyDescent="0.25">
      <c r="A351" t="s">
        <v>26</v>
      </c>
    </row>
    <row r="352" spans="1:1" x14ac:dyDescent="0.25">
      <c r="A352" t="s">
        <v>162</v>
      </c>
    </row>
    <row r="353" spans="1:2" x14ac:dyDescent="0.25">
      <c r="A353" t="s">
        <v>194</v>
      </c>
    </row>
    <row r="354" spans="1:2" x14ac:dyDescent="0.25">
      <c r="A354" t="s">
        <v>195</v>
      </c>
      <c r="B354" t="s">
        <v>196</v>
      </c>
    </row>
    <row r="355" spans="1:2" x14ac:dyDescent="0.25">
      <c r="A355" t="s">
        <v>121</v>
      </c>
    </row>
    <row r="356" spans="1:2" x14ac:dyDescent="0.25">
      <c r="A356" t="s">
        <v>31</v>
      </c>
    </row>
    <row r="357" spans="1:2" x14ac:dyDescent="0.25">
      <c r="A357" t="s">
        <v>197</v>
      </c>
    </row>
    <row r="358" spans="1:2" x14ac:dyDescent="0.25">
      <c r="A358" t="s">
        <v>198</v>
      </c>
    </row>
    <row r="359" spans="1:2" x14ac:dyDescent="0.25">
      <c r="A359" t="s">
        <v>171</v>
      </c>
    </row>
    <row r="360" spans="1:2" x14ac:dyDescent="0.25">
      <c r="A360" t="s">
        <v>199</v>
      </c>
    </row>
    <row r="361" spans="1:2" x14ac:dyDescent="0.25">
      <c r="A361" t="s">
        <v>31</v>
      </c>
    </row>
    <row r="362" spans="1:2" x14ac:dyDescent="0.25">
      <c r="A362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30"/>
  <sheetViews>
    <sheetView workbookViewId="0"/>
  </sheetViews>
  <sheetFormatPr defaultRowHeight="15" x14ac:dyDescent="0.25"/>
  <cols>
    <col min="1" max="3" width="30.7109375" customWidth="1"/>
  </cols>
  <sheetData>
    <row r="1" spans="1:2" s="3" customFormat="1" x14ac:dyDescent="0.25">
      <c r="A1" s="9" t="str">
        <f>HYPERLINK("#Tabulka!A30","Jaký máte pocit z této osobnosti?")</f>
        <v>Jaký máte pocit z této osobnosti?</v>
      </c>
    </row>
    <row r="2" spans="1:2" x14ac:dyDescent="0.25">
      <c r="A2" t="s">
        <v>201</v>
      </c>
      <c r="B2" t="s">
        <v>202</v>
      </c>
    </row>
    <row r="3" spans="1:2" x14ac:dyDescent="0.25">
      <c r="A3" t="s">
        <v>203</v>
      </c>
      <c r="B3" t="s">
        <v>198</v>
      </c>
    </row>
    <row r="4" spans="1:2" x14ac:dyDescent="0.25">
      <c r="A4" t="s">
        <v>203</v>
      </c>
      <c r="B4" t="s">
        <v>74</v>
      </c>
    </row>
    <row r="5" spans="1:2" x14ac:dyDescent="0.25">
      <c r="A5" t="s">
        <v>203</v>
      </c>
      <c r="B5" t="s">
        <v>204</v>
      </c>
    </row>
    <row r="6" spans="1:2" x14ac:dyDescent="0.25">
      <c r="A6" t="s">
        <v>201</v>
      </c>
      <c r="B6" t="s">
        <v>205</v>
      </c>
    </row>
    <row r="7" spans="1:2" x14ac:dyDescent="0.25">
      <c r="A7" t="s">
        <v>203</v>
      </c>
      <c r="B7" t="s">
        <v>206</v>
      </c>
    </row>
    <row r="8" spans="1:2" x14ac:dyDescent="0.25">
      <c r="A8" t="s">
        <v>203</v>
      </c>
      <c r="B8" t="s">
        <v>207</v>
      </c>
    </row>
    <row r="9" spans="1:2" x14ac:dyDescent="0.25">
      <c r="A9" t="s">
        <v>208</v>
      </c>
      <c r="B9" t="s">
        <v>209</v>
      </c>
    </row>
    <row r="10" spans="1:2" x14ac:dyDescent="0.25">
      <c r="A10" t="s">
        <v>208</v>
      </c>
      <c r="B10" t="s">
        <v>210</v>
      </c>
    </row>
    <row r="11" spans="1:2" x14ac:dyDescent="0.25">
      <c r="A11" t="s">
        <v>203</v>
      </c>
      <c r="B11" t="s">
        <v>26</v>
      </c>
    </row>
    <row r="12" spans="1:2" x14ac:dyDescent="0.25">
      <c r="A12" t="s">
        <v>203</v>
      </c>
      <c r="B12" t="s">
        <v>211</v>
      </c>
    </row>
    <row r="13" spans="1:2" x14ac:dyDescent="0.25">
      <c r="A13" t="s">
        <v>201</v>
      </c>
      <c r="B13" t="s">
        <v>212</v>
      </c>
    </row>
    <row r="14" spans="1:2" x14ac:dyDescent="0.25">
      <c r="A14" t="s">
        <v>201</v>
      </c>
      <c r="B14" t="s">
        <v>137</v>
      </c>
    </row>
    <row r="15" spans="1:2" x14ac:dyDescent="0.25">
      <c r="A15" t="s">
        <v>203</v>
      </c>
      <c r="B15" t="s">
        <v>213</v>
      </c>
    </row>
    <row r="16" spans="1:2" x14ac:dyDescent="0.25">
      <c r="A16" t="s">
        <v>201</v>
      </c>
      <c r="B16" t="s">
        <v>212</v>
      </c>
    </row>
    <row r="17" spans="1:2" x14ac:dyDescent="0.25">
      <c r="A17" t="s">
        <v>203</v>
      </c>
      <c r="B17" t="s">
        <v>214</v>
      </c>
    </row>
    <row r="18" spans="1:2" x14ac:dyDescent="0.25">
      <c r="A18" t="s">
        <v>203</v>
      </c>
      <c r="B18" t="s">
        <v>215</v>
      </c>
    </row>
    <row r="19" spans="1:2" x14ac:dyDescent="0.25">
      <c r="A19" t="s">
        <v>208</v>
      </c>
      <c r="B19" t="s">
        <v>216</v>
      </c>
    </row>
    <row r="20" spans="1:2" x14ac:dyDescent="0.25">
      <c r="A20" t="s">
        <v>201</v>
      </c>
      <c r="B20" t="s">
        <v>217</v>
      </c>
    </row>
    <row r="21" spans="1:2" x14ac:dyDescent="0.25">
      <c r="A21" t="s">
        <v>203</v>
      </c>
      <c r="B21" t="s">
        <v>218</v>
      </c>
    </row>
    <row r="22" spans="1:2" x14ac:dyDescent="0.25">
      <c r="A22" t="s">
        <v>201</v>
      </c>
      <c r="B22" t="s">
        <v>207</v>
      </c>
    </row>
    <row r="23" spans="1:2" x14ac:dyDescent="0.25">
      <c r="A23" t="s">
        <v>203</v>
      </c>
      <c r="B23" t="s">
        <v>219</v>
      </c>
    </row>
    <row r="24" spans="1:2" x14ac:dyDescent="0.25">
      <c r="A24" t="s">
        <v>201</v>
      </c>
      <c r="B24" t="s">
        <v>220</v>
      </c>
    </row>
    <row r="25" spans="1:2" x14ac:dyDescent="0.25">
      <c r="A25" t="s">
        <v>203</v>
      </c>
      <c r="B25" t="s">
        <v>213</v>
      </c>
    </row>
    <row r="26" spans="1:2" x14ac:dyDescent="0.25">
      <c r="A26" t="s">
        <v>221</v>
      </c>
      <c r="B26" t="s">
        <v>222</v>
      </c>
    </row>
    <row r="27" spans="1:2" x14ac:dyDescent="0.25">
      <c r="A27" t="s">
        <v>221</v>
      </c>
      <c r="B27" t="s">
        <v>223</v>
      </c>
    </row>
    <row r="28" spans="1:2" x14ac:dyDescent="0.25">
      <c r="A28" t="s">
        <v>203</v>
      </c>
      <c r="B28" t="s">
        <v>224</v>
      </c>
    </row>
    <row r="29" spans="1:2" x14ac:dyDescent="0.25">
      <c r="A29" t="s">
        <v>201</v>
      </c>
      <c r="B29" t="s">
        <v>225</v>
      </c>
    </row>
    <row r="30" spans="1:2" x14ac:dyDescent="0.25">
      <c r="A30" t="s">
        <v>226</v>
      </c>
      <c r="B30" t="s">
        <v>227</v>
      </c>
    </row>
    <row r="31" spans="1:2" x14ac:dyDescent="0.25">
      <c r="A31" t="s">
        <v>203</v>
      </c>
      <c r="B31" t="s">
        <v>228</v>
      </c>
    </row>
    <row r="32" spans="1:2" x14ac:dyDescent="0.25">
      <c r="A32" t="s">
        <v>203</v>
      </c>
      <c r="B32" t="s">
        <v>229</v>
      </c>
    </row>
    <row r="33" spans="1:2" x14ac:dyDescent="0.25">
      <c r="A33" t="s">
        <v>203</v>
      </c>
      <c r="B33" t="s">
        <v>230</v>
      </c>
    </row>
    <row r="34" spans="1:2" x14ac:dyDescent="0.25">
      <c r="A34" t="s">
        <v>226</v>
      </c>
      <c r="B34" t="s">
        <v>78</v>
      </c>
    </row>
    <row r="35" spans="1:2" x14ac:dyDescent="0.25">
      <c r="A35" t="s">
        <v>201</v>
      </c>
      <c r="B35" t="s">
        <v>231</v>
      </c>
    </row>
    <row r="36" spans="1:2" x14ac:dyDescent="0.25">
      <c r="A36" t="s">
        <v>201</v>
      </c>
      <c r="B36" t="s">
        <v>232</v>
      </c>
    </row>
    <row r="37" spans="1:2" x14ac:dyDescent="0.25">
      <c r="A37" t="s">
        <v>203</v>
      </c>
      <c r="B37" t="s">
        <v>233</v>
      </c>
    </row>
    <row r="38" spans="1:2" x14ac:dyDescent="0.25">
      <c r="A38" t="s">
        <v>203</v>
      </c>
      <c r="B38" t="s">
        <v>234</v>
      </c>
    </row>
    <row r="39" spans="1:2" x14ac:dyDescent="0.25">
      <c r="A39" t="s">
        <v>203</v>
      </c>
      <c r="B39" t="s">
        <v>235</v>
      </c>
    </row>
    <row r="40" spans="1:2" x14ac:dyDescent="0.25">
      <c r="A40" t="s">
        <v>201</v>
      </c>
      <c r="B40" t="s">
        <v>236</v>
      </c>
    </row>
    <row r="41" spans="1:2" x14ac:dyDescent="0.25">
      <c r="A41" t="s">
        <v>201</v>
      </c>
      <c r="B41" t="s">
        <v>237</v>
      </c>
    </row>
    <row r="42" spans="1:2" x14ac:dyDescent="0.25">
      <c r="A42" t="s">
        <v>221</v>
      </c>
      <c r="B42" t="s">
        <v>238</v>
      </c>
    </row>
    <row r="43" spans="1:2" x14ac:dyDescent="0.25">
      <c r="A43" t="s">
        <v>203</v>
      </c>
      <c r="B43" t="s">
        <v>239</v>
      </c>
    </row>
    <row r="44" spans="1:2" x14ac:dyDescent="0.25">
      <c r="A44" t="s">
        <v>203</v>
      </c>
      <c r="B44" t="s">
        <v>240</v>
      </c>
    </row>
    <row r="45" spans="1:2" x14ac:dyDescent="0.25">
      <c r="A45" t="s">
        <v>203</v>
      </c>
      <c r="B45" t="s">
        <v>241</v>
      </c>
    </row>
    <row r="46" spans="1:2" x14ac:dyDescent="0.25">
      <c r="A46" t="s">
        <v>203</v>
      </c>
      <c r="B46" t="s">
        <v>206</v>
      </c>
    </row>
    <row r="47" spans="1:2" x14ac:dyDescent="0.25">
      <c r="A47" t="s">
        <v>203</v>
      </c>
      <c r="B47" t="s">
        <v>242</v>
      </c>
    </row>
    <row r="48" spans="1:2" x14ac:dyDescent="0.25">
      <c r="A48" t="s">
        <v>203</v>
      </c>
      <c r="B48" t="s">
        <v>26</v>
      </c>
    </row>
    <row r="49" spans="1:2" x14ac:dyDescent="0.25">
      <c r="A49" t="s">
        <v>221</v>
      </c>
      <c r="B49" t="s">
        <v>243</v>
      </c>
    </row>
    <row r="50" spans="1:2" x14ac:dyDescent="0.25">
      <c r="A50" t="s">
        <v>208</v>
      </c>
      <c r="B50" t="s">
        <v>244</v>
      </c>
    </row>
    <row r="51" spans="1:2" x14ac:dyDescent="0.25">
      <c r="A51" t="s">
        <v>203</v>
      </c>
      <c r="B51" t="s">
        <v>245</v>
      </c>
    </row>
    <row r="52" spans="1:2" x14ac:dyDescent="0.25">
      <c r="A52" t="s">
        <v>208</v>
      </c>
      <c r="B52" t="s">
        <v>246</v>
      </c>
    </row>
    <row r="53" spans="1:2" x14ac:dyDescent="0.25">
      <c r="A53" t="s">
        <v>226</v>
      </c>
      <c r="B53" t="s">
        <v>247</v>
      </c>
    </row>
    <row r="54" spans="1:2" x14ac:dyDescent="0.25">
      <c r="A54" t="s">
        <v>203</v>
      </c>
      <c r="B54" t="s">
        <v>248</v>
      </c>
    </row>
    <row r="55" spans="1:2" x14ac:dyDescent="0.25">
      <c r="A55" t="s">
        <v>201</v>
      </c>
      <c r="B55" t="s">
        <v>249</v>
      </c>
    </row>
    <row r="56" spans="1:2" x14ac:dyDescent="0.25">
      <c r="A56" t="s">
        <v>201</v>
      </c>
      <c r="B56" t="s">
        <v>250</v>
      </c>
    </row>
    <row r="57" spans="1:2" x14ac:dyDescent="0.25">
      <c r="A57" t="s">
        <v>201</v>
      </c>
      <c r="B57" t="s">
        <v>251</v>
      </c>
    </row>
    <row r="58" spans="1:2" x14ac:dyDescent="0.25">
      <c r="A58" t="s">
        <v>221</v>
      </c>
      <c r="B58" t="s">
        <v>252</v>
      </c>
    </row>
    <row r="59" spans="1:2" x14ac:dyDescent="0.25">
      <c r="A59" t="s">
        <v>208</v>
      </c>
      <c r="B59" t="s">
        <v>253</v>
      </c>
    </row>
    <row r="60" spans="1:2" x14ac:dyDescent="0.25">
      <c r="A60" t="s">
        <v>203</v>
      </c>
      <c r="B60" t="s">
        <v>254</v>
      </c>
    </row>
    <row r="61" spans="1:2" x14ac:dyDescent="0.25">
      <c r="A61" t="s">
        <v>201</v>
      </c>
      <c r="B61" t="s">
        <v>255</v>
      </c>
    </row>
    <row r="62" spans="1:2" x14ac:dyDescent="0.25">
      <c r="A62" t="s">
        <v>201</v>
      </c>
      <c r="B62" t="s">
        <v>256</v>
      </c>
    </row>
    <row r="63" spans="1:2" x14ac:dyDescent="0.25">
      <c r="A63" t="s">
        <v>201</v>
      </c>
      <c r="B63" t="s">
        <v>257</v>
      </c>
    </row>
    <row r="64" spans="1:2" x14ac:dyDescent="0.25">
      <c r="A64" t="s">
        <v>203</v>
      </c>
      <c r="B64" t="s">
        <v>258</v>
      </c>
    </row>
    <row r="65" spans="1:2" x14ac:dyDescent="0.25">
      <c r="A65" t="s">
        <v>203</v>
      </c>
      <c r="B65" t="s">
        <v>198</v>
      </c>
    </row>
    <row r="66" spans="1:2" x14ac:dyDescent="0.25">
      <c r="A66" t="s">
        <v>203</v>
      </c>
      <c r="B66" t="s">
        <v>259</v>
      </c>
    </row>
    <row r="67" spans="1:2" x14ac:dyDescent="0.25">
      <c r="A67" t="s">
        <v>203</v>
      </c>
      <c r="B67" t="s">
        <v>260</v>
      </c>
    </row>
    <row r="68" spans="1:2" x14ac:dyDescent="0.25">
      <c r="A68" t="s">
        <v>201</v>
      </c>
      <c r="B68" t="s">
        <v>261</v>
      </c>
    </row>
    <row r="69" spans="1:2" x14ac:dyDescent="0.25">
      <c r="A69" t="s">
        <v>203</v>
      </c>
      <c r="B69" t="s">
        <v>262</v>
      </c>
    </row>
    <row r="70" spans="1:2" x14ac:dyDescent="0.25">
      <c r="A70" t="s">
        <v>221</v>
      </c>
      <c r="B70" t="s">
        <v>263</v>
      </c>
    </row>
    <row r="71" spans="1:2" x14ac:dyDescent="0.25">
      <c r="A71" t="s">
        <v>208</v>
      </c>
      <c r="B71" t="s">
        <v>264</v>
      </c>
    </row>
    <row r="72" spans="1:2" x14ac:dyDescent="0.25">
      <c r="A72" t="s">
        <v>221</v>
      </c>
      <c r="B72" t="s">
        <v>265</v>
      </c>
    </row>
    <row r="73" spans="1:2" x14ac:dyDescent="0.25">
      <c r="A73" t="s">
        <v>221</v>
      </c>
      <c r="B73" t="s">
        <v>266</v>
      </c>
    </row>
    <row r="74" spans="1:2" x14ac:dyDescent="0.25">
      <c r="A74" t="s">
        <v>203</v>
      </c>
      <c r="B74" t="s">
        <v>267</v>
      </c>
    </row>
    <row r="75" spans="1:2" x14ac:dyDescent="0.25">
      <c r="A75" t="s">
        <v>201</v>
      </c>
      <c r="B75" t="s">
        <v>268</v>
      </c>
    </row>
    <row r="76" spans="1:2" x14ac:dyDescent="0.25">
      <c r="A76" t="s">
        <v>203</v>
      </c>
      <c r="B76" t="s">
        <v>269</v>
      </c>
    </row>
    <row r="77" spans="1:2" x14ac:dyDescent="0.25">
      <c r="A77" t="s">
        <v>203</v>
      </c>
      <c r="B77" t="s">
        <v>270</v>
      </c>
    </row>
    <row r="78" spans="1:2" x14ac:dyDescent="0.25">
      <c r="A78" t="s">
        <v>221</v>
      </c>
      <c r="B78" t="s">
        <v>271</v>
      </c>
    </row>
    <row r="79" spans="1:2" x14ac:dyDescent="0.25">
      <c r="A79" t="s">
        <v>203</v>
      </c>
      <c r="B79" t="s">
        <v>198</v>
      </c>
    </row>
    <row r="80" spans="1:2" x14ac:dyDescent="0.25">
      <c r="A80" t="s">
        <v>203</v>
      </c>
      <c r="B80" t="s">
        <v>272</v>
      </c>
    </row>
    <row r="81" spans="1:2" x14ac:dyDescent="0.25">
      <c r="A81" t="s">
        <v>203</v>
      </c>
      <c r="B81" t="s">
        <v>213</v>
      </c>
    </row>
    <row r="82" spans="1:2" x14ac:dyDescent="0.25">
      <c r="A82" t="s">
        <v>201</v>
      </c>
      <c r="B82" t="s">
        <v>212</v>
      </c>
    </row>
    <row r="83" spans="1:2" x14ac:dyDescent="0.25">
      <c r="A83" t="s">
        <v>221</v>
      </c>
      <c r="B83" t="s">
        <v>273</v>
      </c>
    </row>
    <row r="84" spans="1:2" x14ac:dyDescent="0.25">
      <c r="A84" t="s">
        <v>221</v>
      </c>
      <c r="B84" t="s">
        <v>274</v>
      </c>
    </row>
    <row r="85" spans="1:2" x14ac:dyDescent="0.25">
      <c r="A85" t="s">
        <v>203</v>
      </c>
      <c r="B85" t="s">
        <v>275</v>
      </c>
    </row>
    <row r="86" spans="1:2" x14ac:dyDescent="0.25">
      <c r="A86" t="s">
        <v>208</v>
      </c>
      <c r="B86" t="s">
        <v>276</v>
      </c>
    </row>
    <row r="87" spans="1:2" x14ac:dyDescent="0.25">
      <c r="A87" t="s">
        <v>203</v>
      </c>
      <c r="B87" t="s">
        <v>277</v>
      </c>
    </row>
    <row r="88" spans="1:2" x14ac:dyDescent="0.25">
      <c r="A88" t="s">
        <v>203</v>
      </c>
      <c r="B88" t="s">
        <v>278</v>
      </c>
    </row>
    <row r="89" spans="1:2" x14ac:dyDescent="0.25">
      <c r="A89" t="s">
        <v>203</v>
      </c>
      <c r="B89" t="s">
        <v>279</v>
      </c>
    </row>
    <row r="90" spans="1:2" x14ac:dyDescent="0.25">
      <c r="A90" t="s">
        <v>201</v>
      </c>
      <c r="B90" t="s">
        <v>280</v>
      </c>
    </row>
    <row r="91" spans="1:2" x14ac:dyDescent="0.25">
      <c r="A91" t="s">
        <v>201</v>
      </c>
      <c r="B91" t="s">
        <v>281</v>
      </c>
    </row>
    <row r="92" spans="1:2" x14ac:dyDescent="0.25">
      <c r="A92" t="s">
        <v>203</v>
      </c>
      <c r="B92" t="s">
        <v>206</v>
      </c>
    </row>
    <row r="93" spans="1:2" x14ac:dyDescent="0.25">
      <c r="A93" t="s">
        <v>203</v>
      </c>
      <c r="B93" t="s">
        <v>282</v>
      </c>
    </row>
    <row r="94" spans="1:2" x14ac:dyDescent="0.25">
      <c r="A94" t="s">
        <v>203</v>
      </c>
      <c r="B94" t="s">
        <v>283</v>
      </c>
    </row>
    <row r="95" spans="1:2" x14ac:dyDescent="0.25">
      <c r="A95" t="s">
        <v>203</v>
      </c>
      <c r="B95" t="s">
        <v>236</v>
      </c>
    </row>
    <row r="96" spans="1:2" x14ac:dyDescent="0.25">
      <c r="A96" t="s">
        <v>208</v>
      </c>
      <c r="B96" t="s">
        <v>284</v>
      </c>
    </row>
    <row r="97" spans="1:2" x14ac:dyDescent="0.25">
      <c r="A97" t="s">
        <v>203</v>
      </c>
      <c r="B97" t="s">
        <v>285</v>
      </c>
    </row>
    <row r="98" spans="1:2" x14ac:dyDescent="0.25">
      <c r="A98" t="s">
        <v>203</v>
      </c>
      <c r="B98" t="s">
        <v>286</v>
      </c>
    </row>
    <row r="99" spans="1:2" x14ac:dyDescent="0.25">
      <c r="A99" t="s">
        <v>208</v>
      </c>
      <c r="B99" t="s">
        <v>287</v>
      </c>
    </row>
    <row r="100" spans="1:2" x14ac:dyDescent="0.25">
      <c r="A100" t="s">
        <v>203</v>
      </c>
      <c r="B100" t="s">
        <v>278</v>
      </c>
    </row>
    <row r="101" spans="1:2" x14ac:dyDescent="0.25">
      <c r="A101" t="s">
        <v>201</v>
      </c>
      <c r="B101" t="s">
        <v>236</v>
      </c>
    </row>
    <row r="102" spans="1:2" x14ac:dyDescent="0.25">
      <c r="A102" t="s">
        <v>203</v>
      </c>
      <c r="B102" t="s">
        <v>288</v>
      </c>
    </row>
    <row r="103" spans="1:2" x14ac:dyDescent="0.25">
      <c r="A103" t="s">
        <v>203</v>
      </c>
      <c r="B103" t="s">
        <v>289</v>
      </c>
    </row>
    <row r="104" spans="1:2" x14ac:dyDescent="0.25">
      <c r="A104" t="s">
        <v>203</v>
      </c>
      <c r="B104" t="s">
        <v>290</v>
      </c>
    </row>
    <row r="105" spans="1:2" x14ac:dyDescent="0.25">
      <c r="A105" t="s">
        <v>203</v>
      </c>
      <c r="B105" t="s">
        <v>32</v>
      </c>
    </row>
    <row r="106" spans="1:2" x14ac:dyDescent="0.25">
      <c r="A106" t="s">
        <v>208</v>
      </c>
      <c r="B106" t="s">
        <v>291</v>
      </c>
    </row>
    <row r="107" spans="1:2" x14ac:dyDescent="0.25">
      <c r="A107" t="s">
        <v>203</v>
      </c>
      <c r="B107" t="s">
        <v>292</v>
      </c>
    </row>
    <row r="108" spans="1:2" x14ac:dyDescent="0.25">
      <c r="A108" t="s">
        <v>226</v>
      </c>
      <c r="B108" t="s">
        <v>293</v>
      </c>
    </row>
    <row r="109" spans="1:2" x14ac:dyDescent="0.25">
      <c r="A109" t="s">
        <v>203</v>
      </c>
      <c r="B109" t="s">
        <v>294</v>
      </c>
    </row>
    <row r="110" spans="1:2" x14ac:dyDescent="0.25">
      <c r="A110" t="s">
        <v>203</v>
      </c>
      <c r="B110" t="s">
        <v>295</v>
      </c>
    </row>
    <row r="111" spans="1:2" x14ac:dyDescent="0.25">
      <c r="A111" t="s">
        <v>208</v>
      </c>
      <c r="B111" t="s">
        <v>296</v>
      </c>
    </row>
    <row r="112" spans="1:2" x14ac:dyDescent="0.25">
      <c r="A112" t="s">
        <v>203</v>
      </c>
      <c r="B112" t="s">
        <v>72</v>
      </c>
    </row>
    <row r="113" spans="1:2" x14ac:dyDescent="0.25">
      <c r="A113" t="s">
        <v>208</v>
      </c>
      <c r="B113" t="s">
        <v>297</v>
      </c>
    </row>
    <row r="114" spans="1:2" x14ac:dyDescent="0.25">
      <c r="A114" t="s">
        <v>201</v>
      </c>
      <c r="B114" t="s">
        <v>298</v>
      </c>
    </row>
    <row r="115" spans="1:2" x14ac:dyDescent="0.25">
      <c r="A115" t="s">
        <v>203</v>
      </c>
      <c r="B115" t="s">
        <v>213</v>
      </c>
    </row>
    <row r="116" spans="1:2" x14ac:dyDescent="0.25">
      <c r="A116" t="s">
        <v>201</v>
      </c>
      <c r="B116" t="s">
        <v>299</v>
      </c>
    </row>
    <row r="117" spans="1:2" x14ac:dyDescent="0.25">
      <c r="A117" t="s">
        <v>203</v>
      </c>
      <c r="B117" t="s">
        <v>300</v>
      </c>
    </row>
    <row r="118" spans="1:2" x14ac:dyDescent="0.25">
      <c r="A118" t="s">
        <v>201</v>
      </c>
      <c r="B118" t="s">
        <v>263</v>
      </c>
    </row>
    <row r="119" spans="1:2" x14ac:dyDescent="0.25">
      <c r="A119" t="s">
        <v>203</v>
      </c>
      <c r="B119" t="s">
        <v>78</v>
      </c>
    </row>
    <row r="120" spans="1:2" x14ac:dyDescent="0.25">
      <c r="A120" t="s">
        <v>201</v>
      </c>
      <c r="B120" t="s">
        <v>301</v>
      </c>
    </row>
    <row r="121" spans="1:2" x14ac:dyDescent="0.25">
      <c r="A121" t="s">
        <v>203</v>
      </c>
      <c r="B121" t="s">
        <v>302</v>
      </c>
    </row>
    <row r="122" spans="1:2" x14ac:dyDescent="0.25">
      <c r="A122" t="s">
        <v>203</v>
      </c>
      <c r="B122" t="s">
        <v>303</v>
      </c>
    </row>
    <row r="123" spans="1:2" x14ac:dyDescent="0.25">
      <c r="A123" t="s">
        <v>208</v>
      </c>
      <c r="B123" t="s">
        <v>304</v>
      </c>
    </row>
    <row r="124" spans="1:2" x14ac:dyDescent="0.25">
      <c r="A124" t="s">
        <v>201</v>
      </c>
      <c r="B124" t="s">
        <v>305</v>
      </c>
    </row>
    <row r="125" spans="1:2" x14ac:dyDescent="0.25">
      <c r="A125" t="s">
        <v>203</v>
      </c>
      <c r="B125" t="s">
        <v>306</v>
      </c>
    </row>
    <row r="126" spans="1:2" x14ac:dyDescent="0.25">
      <c r="A126" t="s">
        <v>201</v>
      </c>
      <c r="B126" t="s">
        <v>251</v>
      </c>
    </row>
    <row r="127" spans="1:2" x14ac:dyDescent="0.25">
      <c r="A127" t="s">
        <v>201</v>
      </c>
      <c r="B127" t="s">
        <v>307</v>
      </c>
    </row>
    <row r="128" spans="1:2" x14ac:dyDescent="0.25">
      <c r="A128" t="s">
        <v>201</v>
      </c>
      <c r="B128" t="s">
        <v>78</v>
      </c>
    </row>
    <row r="129" spans="1:2" x14ac:dyDescent="0.25">
      <c r="A129" t="s">
        <v>208</v>
      </c>
      <c r="B129" t="s">
        <v>308</v>
      </c>
    </row>
    <row r="130" spans="1:2" x14ac:dyDescent="0.25">
      <c r="A130" t="s">
        <v>208</v>
      </c>
      <c r="B130" t="s">
        <v>198</v>
      </c>
    </row>
    <row r="131" spans="1:2" x14ac:dyDescent="0.25">
      <c r="A131" t="s">
        <v>203</v>
      </c>
      <c r="B131" t="s">
        <v>278</v>
      </c>
    </row>
    <row r="132" spans="1:2" x14ac:dyDescent="0.25">
      <c r="A132" t="s">
        <v>201</v>
      </c>
      <c r="B132" t="s">
        <v>309</v>
      </c>
    </row>
    <row r="133" spans="1:2" x14ac:dyDescent="0.25">
      <c r="A133" t="s">
        <v>201</v>
      </c>
      <c r="B133" t="s">
        <v>310</v>
      </c>
    </row>
    <row r="134" spans="1:2" x14ac:dyDescent="0.25">
      <c r="A134" t="s">
        <v>203</v>
      </c>
      <c r="B134" t="s">
        <v>311</v>
      </c>
    </row>
    <row r="135" spans="1:2" x14ac:dyDescent="0.25">
      <c r="A135" t="s">
        <v>203</v>
      </c>
      <c r="B135" t="s">
        <v>96</v>
      </c>
    </row>
    <row r="136" spans="1:2" x14ac:dyDescent="0.25">
      <c r="A136" t="s">
        <v>201</v>
      </c>
      <c r="B136" t="s">
        <v>312</v>
      </c>
    </row>
    <row r="137" spans="1:2" x14ac:dyDescent="0.25">
      <c r="A137" t="s">
        <v>201</v>
      </c>
      <c r="B137" t="s">
        <v>313</v>
      </c>
    </row>
    <row r="138" spans="1:2" x14ac:dyDescent="0.25">
      <c r="A138" t="s">
        <v>201</v>
      </c>
      <c r="B138" t="s">
        <v>314</v>
      </c>
    </row>
    <row r="139" spans="1:2" x14ac:dyDescent="0.25">
      <c r="A139" t="s">
        <v>203</v>
      </c>
      <c r="B139" t="s">
        <v>315</v>
      </c>
    </row>
    <row r="140" spans="1:2" x14ac:dyDescent="0.25">
      <c r="A140" t="s">
        <v>208</v>
      </c>
      <c r="B140" t="s">
        <v>34</v>
      </c>
    </row>
    <row r="141" spans="1:2" x14ac:dyDescent="0.25">
      <c r="A141" t="s">
        <v>201</v>
      </c>
      <c r="B141" t="s">
        <v>316</v>
      </c>
    </row>
    <row r="142" spans="1:2" x14ac:dyDescent="0.25">
      <c r="A142" t="s">
        <v>201</v>
      </c>
      <c r="B142" t="s">
        <v>317</v>
      </c>
    </row>
    <row r="143" spans="1:2" x14ac:dyDescent="0.25">
      <c r="A143" t="s">
        <v>201</v>
      </c>
      <c r="B143" t="s">
        <v>318</v>
      </c>
    </row>
    <row r="144" spans="1:2" x14ac:dyDescent="0.25">
      <c r="A144" t="s">
        <v>203</v>
      </c>
      <c r="B144" t="s">
        <v>278</v>
      </c>
    </row>
    <row r="145" spans="1:2" x14ac:dyDescent="0.25">
      <c r="A145" t="s">
        <v>201</v>
      </c>
      <c r="B145" t="s">
        <v>319</v>
      </c>
    </row>
    <row r="146" spans="1:2" x14ac:dyDescent="0.25">
      <c r="A146" t="s">
        <v>203</v>
      </c>
      <c r="B146" t="s">
        <v>278</v>
      </c>
    </row>
    <row r="147" spans="1:2" x14ac:dyDescent="0.25">
      <c r="A147" t="s">
        <v>203</v>
      </c>
      <c r="B147" t="s">
        <v>320</v>
      </c>
    </row>
    <row r="148" spans="1:2" x14ac:dyDescent="0.25">
      <c r="A148" t="s">
        <v>201</v>
      </c>
      <c r="B148" t="s">
        <v>321</v>
      </c>
    </row>
    <row r="149" spans="1:2" x14ac:dyDescent="0.25">
      <c r="A149" t="s">
        <v>221</v>
      </c>
      <c r="B149" t="s">
        <v>322</v>
      </c>
    </row>
    <row r="150" spans="1:2" x14ac:dyDescent="0.25">
      <c r="A150" t="s">
        <v>203</v>
      </c>
      <c r="B150" t="s">
        <v>323</v>
      </c>
    </row>
    <row r="151" spans="1:2" x14ac:dyDescent="0.25">
      <c r="A151" t="s">
        <v>203</v>
      </c>
      <c r="B151" t="s">
        <v>324</v>
      </c>
    </row>
    <row r="152" spans="1:2" x14ac:dyDescent="0.25">
      <c r="A152" t="s">
        <v>203</v>
      </c>
      <c r="B152" t="s">
        <v>325</v>
      </c>
    </row>
    <row r="153" spans="1:2" x14ac:dyDescent="0.25">
      <c r="A153" t="s">
        <v>208</v>
      </c>
      <c r="B153" t="s">
        <v>326</v>
      </c>
    </row>
    <row r="154" spans="1:2" x14ac:dyDescent="0.25">
      <c r="A154" t="s">
        <v>201</v>
      </c>
      <c r="B154" t="s">
        <v>309</v>
      </c>
    </row>
    <row r="155" spans="1:2" x14ac:dyDescent="0.25">
      <c r="A155" t="s">
        <v>203</v>
      </c>
      <c r="B155" t="s">
        <v>327</v>
      </c>
    </row>
    <row r="156" spans="1:2" x14ac:dyDescent="0.25">
      <c r="A156" t="s">
        <v>221</v>
      </c>
      <c r="B156" t="s">
        <v>328</v>
      </c>
    </row>
    <row r="157" spans="1:2" x14ac:dyDescent="0.25">
      <c r="A157" t="s">
        <v>221</v>
      </c>
      <c r="B157" t="s">
        <v>329</v>
      </c>
    </row>
    <row r="158" spans="1:2" x14ac:dyDescent="0.25">
      <c r="A158" t="s">
        <v>226</v>
      </c>
      <c r="B158" t="s">
        <v>330</v>
      </c>
    </row>
    <row r="159" spans="1:2" x14ac:dyDescent="0.25">
      <c r="A159" t="s">
        <v>203</v>
      </c>
      <c r="B159" t="s">
        <v>331</v>
      </c>
    </row>
    <row r="160" spans="1:2" x14ac:dyDescent="0.25">
      <c r="A160" t="s">
        <v>203</v>
      </c>
      <c r="B160" t="s">
        <v>332</v>
      </c>
    </row>
    <row r="161" spans="1:2" x14ac:dyDescent="0.25">
      <c r="A161" t="s">
        <v>203</v>
      </c>
      <c r="B161" t="s">
        <v>333</v>
      </c>
    </row>
    <row r="162" spans="1:2" x14ac:dyDescent="0.25">
      <c r="A162" t="s">
        <v>203</v>
      </c>
      <c r="B162" t="s">
        <v>334</v>
      </c>
    </row>
    <row r="163" spans="1:2" x14ac:dyDescent="0.25">
      <c r="A163" t="s">
        <v>203</v>
      </c>
      <c r="B163" t="s">
        <v>335</v>
      </c>
    </row>
    <row r="164" spans="1:2" x14ac:dyDescent="0.25">
      <c r="A164" t="s">
        <v>221</v>
      </c>
      <c r="B164" t="s">
        <v>336</v>
      </c>
    </row>
    <row r="165" spans="1:2" x14ac:dyDescent="0.25">
      <c r="A165" t="s">
        <v>203</v>
      </c>
      <c r="B165" t="s">
        <v>198</v>
      </c>
    </row>
    <row r="166" spans="1:2" x14ac:dyDescent="0.25">
      <c r="A166" t="s">
        <v>201</v>
      </c>
      <c r="B166" t="s">
        <v>207</v>
      </c>
    </row>
    <row r="167" spans="1:2" x14ac:dyDescent="0.25">
      <c r="A167" t="s">
        <v>221</v>
      </c>
      <c r="B167" t="s">
        <v>337</v>
      </c>
    </row>
    <row r="168" spans="1:2" x14ac:dyDescent="0.25">
      <c r="A168" t="s">
        <v>201</v>
      </c>
      <c r="B168" t="s">
        <v>212</v>
      </c>
    </row>
    <row r="169" spans="1:2" x14ac:dyDescent="0.25">
      <c r="A169" t="s">
        <v>203</v>
      </c>
      <c r="B169" t="s">
        <v>338</v>
      </c>
    </row>
    <row r="170" spans="1:2" x14ac:dyDescent="0.25">
      <c r="A170" t="s">
        <v>221</v>
      </c>
      <c r="B170" t="s">
        <v>339</v>
      </c>
    </row>
    <row r="171" spans="1:2" x14ac:dyDescent="0.25">
      <c r="A171" t="s">
        <v>203</v>
      </c>
      <c r="B171" t="s">
        <v>278</v>
      </c>
    </row>
    <row r="172" spans="1:2" x14ac:dyDescent="0.25">
      <c r="A172" t="s">
        <v>203</v>
      </c>
      <c r="B172" t="s">
        <v>340</v>
      </c>
    </row>
    <row r="173" spans="1:2" x14ac:dyDescent="0.25">
      <c r="A173" t="s">
        <v>203</v>
      </c>
      <c r="B173" t="s">
        <v>74</v>
      </c>
    </row>
    <row r="174" spans="1:2" x14ac:dyDescent="0.25">
      <c r="A174" t="s">
        <v>208</v>
      </c>
      <c r="B174" t="s">
        <v>341</v>
      </c>
    </row>
    <row r="175" spans="1:2" x14ac:dyDescent="0.25">
      <c r="A175" t="s">
        <v>203</v>
      </c>
      <c r="B175" t="s">
        <v>342</v>
      </c>
    </row>
    <row r="176" spans="1:2" x14ac:dyDescent="0.25">
      <c r="A176" t="s">
        <v>201</v>
      </c>
      <c r="B176" t="s">
        <v>235</v>
      </c>
    </row>
    <row r="177" spans="1:2" x14ac:dyDescent="0.25">
      <c r="A177" t="s">
        <v>201</v>
      </c>
      <c r="B177" t="s">
        <v>263</v>
      </c>
    </row>
    <row r="178" spans="1:2" x14ac:dyDescent="0.25">
      <c r="A178" t="s">
        <v>203</v>
      </c>
      <c r="B178" t="s">
        <v>343</v>
      </c>
    </row>
    <row r="179" spans="1:2" x14ac:dyDescent="0.25">
      <c r="A179" t="s">
        <v>208</v>
      </c>
      <c r="B179" t="s">
        <v>344</v>
      </c>
    </row>
    <row r="180" spans="1:2" x14ac:dyDescent="0.25">
      <c r="A180" t="s">
        <v>203</v>
      </c>
      <c r="B180" t="s">
        <v>53</v>
      </c>
    </row>
    <row r="181" spans="1:2" x14ac:dyDescent="0.25">
      <c r="A181" t="s">
        <v>201</v>
      </c>
      <c r="B181" t="s">
        <v>345</v>
      </c>
    </row>
    <row r="182" spans="1:2" x14ac:dyDescent="0.25">
      <c r="A182" t="s">
        <v>201</v>
      </c>
      <c r="B182" t="s">
        <v>236</v>
      </c>
    </row>
    <row r="183" spans="1:2" x14ac:dyDescent="0.25">
      <c r="A183" t="s">
        <v>203</v>
      </c>
      <c r="B183" t="s">
        <v>346</v>
      </c>
    </row>
    <row r="184" spans="1:2" x14ac:dyDescent="0.25">
      <c r="A184" t="s">
        <v>203</v>
      </c>
      <c r="B184" t="s">
        <v>347</v>
      </c>
    </row>
    <row r="185" spans="1:2" x14ac:dyDescent="0.25">
      <c r="A185" t="s">
        <v>203</v>
      </c>
      <c r="B185" t="s">
        <v>348</v>
      </c>
    </row>
    <row r="186" spans="1:2" x14ac:dyDescent="0.25">
      <c r="A186" t="s">
        <v>203</v>
      </c>
      <c r="B186" t="s">
        <v>74</v>
      </c>
    </row>
    <row r="187" spans="1:2" x14ac:dyDescent="0.25">
      <c r="A187" t="s">
        <v>201</v>
      </c>
      <c r="B187" t="s">
        <v>349</v>
      </c>
    </row>
    <row r="188" spans="1:2" x14ac:dyDescent="0.25">
      <c r="A188" t="s">
        <v>201</v>
      </c>
      <c r="B188" t="s">
        <v>309</v>
      </c>
    </row>
    <row r="189" spans="1:2" x14ac:dyDescent="0.25">
      <c r="A189" t="s">
        <v>203</v>
      </c>
      <c r="B189" t="s">
        <v>53</v>
      </c>
    </row>
    <row r="190" spans="1:2" x14ac:dyDescent="0.25">
      <c r="A190" t="s">
        <v>201</v>
      </c>
      <c r="B190" t="s">
        <v>350</v>
      </c>
    </row>
    <row r="191" spans="1:2" x14ac:dyDescent="0.25">
      <c r="A191" t="s">
        <v>201</v>
      </c>
      <c r="B191" t="s">
        <v>351</v>
      </c>
    </row>
    <row r="192" spans="1:2" x14ac:dyDescent="0.25">
      <c r="A192" t="s">
        <v>221</v>
      </c>
      <c r="B192" t="s">
        <v>31</v>
      </c>
    </row>
    <row r="193" spans="1:2" x14ac:dyDescent="0.25">
      <c r="A193" t="s">
        <v>221</v>
      </c>
      <c r="B193" t="s">
        <v>352</v>
      </c>
    </row>
    <row r="194" spans="1:2" x14ac:dyDescent="0.25">
      <c r="A194" t="s">
        <v>203</v>
      </c>
      <c r="B194" t="s">
        <v>278</v>
      </c>
    </row>
    <row r="195" spans="1:2" x14ac:dyDescent="0.25">
      <c r="A195" t="s">
        <v>203</v>
      </c>
      <c r="B195" t="s">
        <v>82</v>
      </c>
    </row>
    <row r="196" spans="1:2" x14ac:dyDescent="0.25">
      <c r="A196" t="s">
        <v>201</v>
      </c>
      <c r="B196" t="s">
        <v>122</v>
      </c>
    </row>
    <row r="197" spans="1:2" x14ac:dyDescent="0.25">
      <c r="A197" t="s">
        <v>203</v>
      </c>
      <c r="B197" t="s">
        <v>53</v>
      </c>
    </row>
    <row r="198" spans="1:2" x14ac:dyDescent="0.25">
      <c r="A198" t="s">
        <v>221</v>
      </c>
      <c r="B198" t="s">
        <v>353</v>
      </c>
    </row>
    <row r="199" spans="1:2" x14ac:dyDescent="0.25">
      <c r="A199" t="s">
        <v>201</v>
      </c>
      <c r="B199" t="s">
        <v>354</v>
      </c>
    </row>
    <row r="200" spans="1:2" x14ac:dyDescent="0.25">
      <c r="A200" t="s">
        <v>221</v>
      </c>
      <c r="B200" t="s">
        <v>355</v>
      </c>
    </row>
    <row r="201" spans="1:2" x14ac:dyDescent="0.25">
      <c r="A201" t="s">
        <v>203</v>
      </c>
      <c r="B201" t="s">
        <v>356</v>
      </c>
    </row>
    <row r="202" spans="1:2" x14ac:dyDescent="0.25">
      <c r="A202" t="s">
        <v>203</v>
      </c>
      <c r="B202" t="s">
        <v>348</v>
      </c>
    </row>
    <row r="203" spans="1:2" x14ac:dyDescent="0.25">
      <c r="A203" t="s">
        <v>208</v>
      </c>
      <c r="B203" t="s">
        <v>357</v>
      </c>
    </row>
    <row r="204" spans="1:2" x14ac:dyDescent="0.25">
      <c r="A204" t="s">
        <v>201</v>
      </c>
      <c r="B204" t="s">
        <v>358</v>
      </c>
    </row>
    <row r="205" spans="1:2" x14ac:dyDescent="0.25">
      <c r="A205" t="s">
        <v>203</v>
      </c>
      <c r="B205" t="s">
        <v>359</v>
      </c>
    </row>
    <row r="206" spans="1:2" x14ac:dyDescent="0.25">
      <c r="A206" t="s">
        <v>221</v>
      </c>
      <c r="B206" t="s">
        <v>360</v>
      </c>
    </row>
    <row r="207" spans="1:2" x14ac:dyDescent="0.25">
      <c r="A207" t="s">
        <v>203</v>
      </c>
      <c r="B207" t="s">
        <v>361</v>
      </c>
    </row>
    <row r="208" spans="1:2" x14ac:dyDescent="0.25">
      <c r="A208" t="s">
        <v>203</v>
      </c>
      <c r="B208" t="s">
        <v>362</v>
      </c>
    </row>
    <row r="209" spans="1:2" x14ac:dyDescent="0.25">
      <c r="A209" t="s">
        <v>201</v>
      </c>
      <c r="B209" t="s">
        <v>137</v>
      </c>
    </row>
    <row r="210" spans="1:2" x14ac:dyDescent="0.25">
      <c r="A210" t="s">
        <v>208</v>
      </c>
      <c r="B210" t="s">
        <v>278</v>
      </c>
    </row>
    <row r="211" spans="1:2" x14ac:dyDescent="0.25">
      <c r="A211" t="s">
        <v>201</v>
      </c>
      <c r="B211" t="s">
        <v>364</v>
      </c>
    </row>
    <row r="212" spans="1:2" x14ac:dyDescent="0.25">
      <c r="A212" t="s">
        <v>208</v>
      </c>
      <c r="B212" t="s">
        <v>365</v>
      </c>
    </row>
    <row r="213" spans="1:2" x14ac:dyDescent="0.25">
      <c r="A213" t="s">
        <v>203</v>
      </c>
      <c r="B213" t="s">
        <v>260</v>
      </c>
    </row>
    <row r="214" spans="1:2" x14ac:dyDescent="0.25">
      <c r="A214" t="s">
        <v>201</v>
      </c>
      <c r="B214" t="s">
        <v>207</v>
      </c>
    </row>
    <row r="215" spans="1:2" x14ac:dyDescent="0.25">
      <c r="A215" t="s">
        <v>203</v>
      </c>
      <c r="B215" t="s">
        <v>366</v>
      </c>
    </row>
    <row r="216" spans="1:2" x14ac:dyDescent="0.25">
      <c r="A216" t="s">
        <v>201</v>
      </c>
      <c r="B216" t="s">
        <v>367</v>
      </c>
    </row>
    <row r="217" spans="1:2" x14ac:dyDescent="0.25">
      <c r="A217" t="s">
        <v>203</v>
      </c>
      <c r="B217" t="s">
        <v>74</v>
      </c>
    </row>
    <row r="218" spans="1:2" x14ac:dyDescent="0.25">
      <c r="A218" t="s">
        <v>208</v>
      </c>
      <c r="B218" t="s">
        <v>368</v>
      </c>
    </row>
    <row r="219" spans="1:2" x14ac:dyDescent="0.25">
      <c r="A219" t="s">
        <v>201</v>
      </c>
      <c r="B219" t="s">
        <v>369</v>
      </c>
    </row>
    <row r="220" spans="1:2" x14ac:dyDescent="0.25">
      <c r="A220" t="s">
        <v>201</v>
      </c>
      <c r="B220" t="s">
        <v>370</v>
      </c>
    </row>
    <row r="221" spans="1:2" x14ac:dyDescent="0.25">
      <c r="A221" t="s">
        <v>203</v>
      </c>
      <c r="B221" t="s">
        <v>371</v>
      </c>
    </row>
    <row r="222" spans="1:2" x14ac:dyDescent="0.25">
      <c r="A222" t="s">
        <v>208</v>
      </c>
      <c r="B222" t="s">
        <v>233</v>
      </c>
    </row>
    <row r="223" spans="1:2" x14ac:dyDescent="0.25">
      <c r="A223" t="s">
        <v>221</v>
      </c>
      <c r="B223" t="s">
        <v>372</v>
      </c>
    </row>
    <row r="224" spans="1:2" x14ac:dyDescent="0.25">
      <c r="A224" t="s">
        <v>203</v>
      </c>
      <c r="B224" t="s">
        <v>72</v>
      </c>
    </row>
    <row r="225" spans="1:2" x14ac:dyDescent="0.25">
      <c r="A225" t="s">
        <v>201</v>
      </c>
      <c r="B225" t="s">
        <v>202</v>
      </c>
    </row>
    <row r="226" spans="1:2" x14ac:dyDescent="0.25">
      <c r="A226" t="s">
        <v>203</v>
      </c>
      <c r="B226" t="s">
        <v>373</v>
      </c>
    </row>
    <row r="227" spans="1:2" x14ac:dyDescent="0.25">
      <c r="A227" t="s">
        <v>208</v>
      </c>
      <c r="B227" t="s">
        <v>374</v>
      </c>
    </row>
    <row r="228" spans="1:2" x14ac:dyDescent="0.25">
      <c r="A228" t="s">
        <v>203</v>
      </c>
      <c r="B228" t="s">
        <v>229</v>
      </c>
    </row>
    <row r="229" spans="1:2" x14ac:dyDescent="0.25">
      <c r="A229" t="s">
        <v>201</v>
      </c>
      <c r="B229" t="s">
        <v>309</v>
      </c>
    </row>
    <row r="230" spans="1:2" x14ac:dyDescent="0.25">
      <c r="A230" t="s">
        <v>221</v>
      </c>
      <c r="B230" t="s">
        <v>375</v>
      </c>
    </row>
    <row r="231" spans="1:2" x14ac:dyDescent="0.25">
      <c r="A231" t="s">
        <v>201</v>
      </c>
      <c r="B231" t="s">
        <v>309</v>
      </c>
    </row>
    <row r="232" spans="1:2" x14ac:dyDescent="0.25">
      <c r="A232" t="s">
        <v>201</v>
      </c>
      <c r="B232" t="s">
        <v>376</v>
      </c>
    </row>
    <row r="233" spans="1:2" x14ac:dyDescent="0.25">
      <c r="A233" t="s">
        <v>201</v>
      </c>
      <c r="B233" t="s">
        <v>212</v>
      </c>
    </row>
    <row r="234" spans="1:2" x14ac:dyDescent="0.25">
      <c r="A234" t="s">
        <v>203</v>
      </c>
      <c r="B234" t="s">
        <v>278</v>
      </c>
    </row>
    <row r="235" spans="1:2" x14ac:dyDescent="0.25">
      <c r="A235" t="s">
        <v>203</v>
      </c>
      <c r="B235" t="s">
        <v>214</v>
      </c>
    </row>
    <row r="236" spans="1:2" x14ac:dyDescent="0.25">
      <c r="A236" t="s">
        <v>201</v>
      </c>
      <c r="B236" t="s">
        <v>377</v>
      </c>
    </row>
    <row r="237" spans="1:2" x14ac:dyDescent="0.25">
      <c r="A237" t="s">
        <v>203</v>
      </c>
      <c r="B237" t="s">
        <v>278</v>
      </c>
    </row>
    <row r="238" spans="1:2" x14ac:dyDescent="0.25">
      <c r="A238" t="s">
        <v>201</v>
      </c>
      <c r="B238" t="s">
        <v>378</v>
      </c>
    </row>
    <row r="239" spans="1:2" x14ac:dyDescent="0.25">
      <c r="A239" t="s">
        <v>201</v>
      </c>
      <c r="B239" t="s">
        <v>379</v>
      </c>
    </row>
    <row r="240" spans="1:2" x14ac:dyDescent="0.25">
      <c r="A240" t="s">
        <v>221</v>
      </c>
      <c r="B240" t="s">
        <v>364</v>
      </c>
    </row>
    <row r="241" spans="1:2" x14ac:dyDescent="0.25">
      <c r="A241" t="s">
        <v>203</v>
      </c>
      <c r="B241" t="s">
        <v>380</v>
      </c>
    </row>
    <row r="242" spans="1:2" x14ac:dyDescent="0.25">
      <c r="A242" t="s">
        <v>221</v>
      </c>
      <c r="B242" t="s">
        <v>207</v>
      </c>
    </row>
    <row r="243" spans="1:2" x14ac:dyDescent="0.25">
      <c r="A243" t="s">
        <v>208</v>
      </c>
      <c r="B243" t="s">
        <v>381</v>
      </c>
    </row>
    <row r="244" spans="1:2" x14ac:dyDescent="0.25">
      <c r="A244" t="s">
        <v>203</v>
      </c>
      <c r="B244" t="s">
        <v>382</v>
      </c>
    </row>
    <row r="245" spans="1:2" x14ac:dyDescent="0.25">
      <c r="A245" t="s">
        <v>203</v>
      </c>
      <c r="B245" t="s">
        <v>383</v>
      </c>
    </row>
    <row r="246" spans="1:2" x14ac:dyDescent="0.25">
      <c r="A246" t="s">
        <v>201</v>
      </c>
      <c r="B246" t="s">
        <v>384</v>
      </c>
    </row>
    <row r="247" spans="1:2" x14ac:dyDescent="0.25">
      <c r="A247" t="s">
        <v>226</v>
      </c>
      <c r="B247" t="s">
        <v>385</v>
      </c>
    </row>
    <row r="248" spans="1:2" x14ac:dyDescent="0.25">
      <c r="A248" t="s">
        <v>201</v>
      </c>
      <c r="B248" t="s">
        <v>309</v>
      </c>
    </row>
    <row r="249" spans="1:2" x14ac:dyDescent="0.25">
      <c r="A249" t="s">
        <v>201</v>
      </c>
      <c r="B249" t="s">
        <v>386</v>
      </c>
    </row>
    <row r="250" spans="1:2" x14ac:dyDescent="0.25">
      <c r="A250" t="s">
        <v>203</v>
      </c>
      <c r="B250" t="s">
        <v>387</v>
      </c>
    </row>
    <row r="251" spans="1:2" x14ac:dyDescent="0.25">
      <c r="A251" t="s">
        <v>203</v>
      </c>
      <c r="B251" t="s">
        <v>53</v>
      </c>
    </row>
    <row r="252" spans="1:2" x14ac:dyDescent="0.25">
      <c r="A252" t="s">
        <v>203</v>
      </c>
      <c r="B252" t="s">
        <v>74</v>
      </c>
    </row>
    <row r="253" spans="1:2" x14ac:dyDescent="0.25">
      <c r="A253" t="s">
        <v>201</v>
      </c>
      <c r="B253" t="s">
        <v>388</v>
      </c>
    </row>
    <row r="254" spans="1:2" x14ac:dyDescent="0.25">
      <c r="A254" t="s">
        <v>201</v>
      </c>
      <c r="B254" t="s">
        <v>389</v>
      </c>
    </row>
    <row r="255" spans="1:2" x14ac:dyDescent="0.25">
      <c r="A255" t="s">
        <v>203</v>
      </c>
      <c r="B255" t="s">
        <v>390</v>
      </c>
    </row>
    <row r="256" spans="1:2" x14ac:dyDescent="0.25">
      <c r="A256" t="s">
        <v>201</v>
      </c>
      <c r="B256" t="s">
        <v>35</v>
      </c>
    </row>
    <row r="257" spans="1:2" x14ac:dyDescent="0.25">
      <c r="A257" t="s">
        <v>201</v>
      </c>
      <c r="B257" t="s">
        <v>392</v>
      </c>
    </row>
    <row r="258" spans="1:2" x14ac:dyDescent="0.25">
      <c r="A258" t="s">
        <v>201</v>
      </c>
      <c r="B258" t="s">
        <v>393</v>
      </c>
    </row>
    <row r="259" spans="1:2" x14ac:dyDescent="0.25">
      <c r="A259" t="s">
        <v>208</v>
      </c>
      <c r="B259" t="s">
        <v>394</v>
      </c>
    </row>
    <row r="260" spans="1:2" x14ac:dyDescent="0.25">
      <c r="A260" t="s">
        <v>203</v>
      </c>
      <c r="B260" t="s">
        <v>395</v>
      </c>
    </row>
    <row r="261" spans="1:2" x14ac:dyDescent="0.25">
      <c r="A261" t="s">
        <v>221</v>
      </c>
      <c r="B261" t="s">
        <v>396</v>
      </c>
    </row>
    <row r="262" spans="1:2" x14ac:dyDescent="0.25">
      <c r="A262" t="s">
        <v>201</v>
      </c>
      <c r="B262" t="s">
        <v>397</v>
      </c>
    </row>
    <row r="263" spans="1:2" x14ac:dyDescent="0.25">
      <c r="A263" t="s">
        <v>201</v>
      </c>
      <c r="B263" t="s">
        <v>398</v>
      </c>
    </row>
    <row r="264" spans="1:2" x14ac:dyDescent="0.25">
      <c r="A264" t="s">
        <v>203</v>
      </c>
      <c r="B264" t="s">
        <v>399</v>
      </c>
    </row>
    <row r="265" spans="1:2" x14ac:dyDescent="0.25">
      <c r="A265" t="s">
        <v>208</v>
      </c>
      <c r="B265" t="s">
        <v>400</v>
      </c>
    </row>
    <row r="266" spans="1:2" x14ac:dyDescent="0.25">
      <c r="A266" t="s">
        <v>203</v>
      </c>
      <c r="B266" t="s">
        <v>348</v>
      </c>
    </row>
    <row r="267" spans="1:2" x14ac:dyDescent="0.25">
      <c r="A267" t="s">
        <v>203</v>
      </c>
      <c r="B267" t="s">
        <v>401</v>
      </c>
    </row>
    <row r="268" spans="1:2" x14ac:dyDescent="0.25">
      <c r="A268" t="s">
        <v>203</v>
      </c>
      <c r="B268" t="s">
        <v>46</v>
      </c>
    </row>
    <row r="269" spans="1:2" x14ac:dyDescent="0.25">
      <c r="A269" t="s">
        <v>203</v>
      </c>
      <c r="B269" t="s">
        <v>260</v>
      </c>
    </row>
    <row r="270" spans="1:2" x14ac:dyDescent="0.25">
      <c r="A270" t="s">
        <v>203</v>
      </c>
      <c r="B270" t="s">
        <v>402</v>
      </c>
    </row>
    <row r="271" spans="1:2" x14ac:dyDescent="0.25">
      <c r="A271" t="s">
        <v>203</v>
      </c>
      <c r="B271" t="s">
        <v>403</v>
      </c>
    </row>
    <row r="272" spans="1:2" x14ac:dyDescent="0.25">
      <c r="A272" t="s">
        <v>203</v>
      </c>
      <c r="B272" t="s">
        <v>404</v>
      </c>
    </row>
    <row r="273" spans="1:2" x14ac:dyDescent="0.25">
      <c r="A273" t="s">
        <v>203</v>
      </c>
      <c r="B273" t="s">
        <v>405</v>
      </c>
    </row>
    <row r="274" spans="1:2" x14ac:dyDescent="0.25">
      <c r="A274" t="s">
        <v>201</v>
      </c>
      <c r="B274" t="s">
        <v>406</v>
      </c>
    </row>
    <row r="275" spans="1:2" x14ac:dyDescent="0.25">
      <c r="A275" t="s">
        <v>208</v>
      </c>
      <c r="B275" t="s">
        <v>236</v>
      </c>
    </row>
    <row r="276" spans="1:2" x14ac:dyDescent="0.25">
      <c r="A276" t="s">
        <v>203</v>
      </c>
      <c r="B276" t="s">
        <v>278</v>
      </c>
    </row>
    <row r="277" spans="1:2" x14ac:dyDescent="0.25">
      <c r="A277" t="s">
        <v>203</v>
      </c>
      <c r="B277" t="s">
        <v>407</v>
      </c>
    </row>
    <row r="278" spans="1:2" x14ac:dyDescent="0.25">
      <c r="A278" t="s">
        <v>201</v>
      </c>
      <c r="B278" t="s">
        <v>86</v>
      </c>
    </row>
    <row r="279" spans="1:2" x14ac:dyDescent="0.25">
      <c r="A279" t="s">
        <v>203</v>
      </c>
      <c r="B279" t="s">
        <v>207</v>
      </c>
    </row>
    <row r="280" spans="1:2" x14ac:dyDescent="0.25">
      <c r="A280" t="s">
        <v>203</v>
      </c>
      <c r="B280" t="s">
        <v>273</v>
      </c>
    </row>
    <row r="281" spans="1:2" x14ac:dyDescent="0.25">
      <c r="A281" t="s">
        <v>203</v>
      </c>
      <c r="B281" t="s">
        <v>408</v>
      </c>
    </row>
    <row r="282" spans="1:2" x14ac:dyDescent="0.25">
      <c r="A282" t="s">
        <v>208</v>
      </c>
      <c r="B282" t="s">
        <v>86</v>
      </c>
    </row>
    <row r="283" spans="1:2" x14ac:dyDescent="0.25">
      <c r="A283" t="s">
        <v>203</v>
      </c>
      <c r="B283" t="s">
        <v>409</v>
      </c>
    </row>
    <row r="284" spans="1:2" x14ac:dyDescent="0.25">
      <c r="A284" t="s">
        <v>203</v>
      </c>
      <c r="B284" t="s">
        <v>410</v>
      </c>
    </row>
    <row r="285" spans="1:2" x14ac:dyDescent="0.25">
      <c r="A285" t="s">
        <v>203</v>
      </c>
      <c r="B285" t="s">
        <v>411</v>
      </c>
    </row>
    <row r="286" spans="1:2" x14ac:dyDescent="0.25">
      <c r="A286" t="s">
        <v>221</v>
      </c>
      <c r="B286" t="s">
        <v>351</v>
      </c>
    </row>
    <row r="287" spans="1:2" x14ac:dyDescent="0.25">
      <c r="A287" t="s">
        <v>203</v>
      </c>
      <c r="B287" t="s">
        <v>74</v>
      </c>
    </row>
    <row r="288" spans="1:2" x14ac:dyDescent="0.25">
      <c r="A288" t="s">
        <v>201</v>
      </c>
      <c r="B288" t="s">
        <v>412</v>
      </c>
    </row>
    <row r="289" spans="1:2" x14ac:dyDescent="0.25">
      <c r="A289" t="s">
        <v>203</v>
      </c>
      <c r="B289" t="s">
        <v>198</v>
      </c>
    </row>
    <row r="290" spans="1:2" x14ac:dyDescent="0.25">
      <c r="A290" t="s">
        <v>221</v>
      </c>
      <c r="B290" t="s">
        <v>413</v>
      </c>
    </row>
    <row r="291" spans="1:2" x14ac:dyDescent="0.25">
      <c r="A291" t="s">
        <v>201</v>
      </c>
      <c r="B291" t="s">
        <v>414</v>
      </c>
    </row>
    <row r="292" spans="1:2" x14ac:dyDescent="0.25">
      <c r="A292" t="s">
        <v>201</v>
      </c>
      <c r="B292" t="s">
        <v>415</v>
      </c>
    </row>
    <row r="293" spans="1:2" x14ac:dyDescent="0.25">
      <c r="A293" t="s">
        <v>203</v>
      </c>
      <c r="B293" t="s">
        <v>278</v>
      </c>
    </row>
    <row r="294" spans="1:2" x14ac:dyDescent="0.25">
      <c r="A294" t="s">
        <v>203</v>
      </c>
      <c r="B294" t="s">
        <v>234</v>
      </c>
    </row>
    <row r="295" spans="1:2" x14ac:dyDescent="0.25">
      <c r="A295" t="s">
        <v>201</v>
      </c>
      <c r="B295" t="s">
        <v>416</v>
      </c>
    </row>
    <row r="296" spans="1:2" x14ac:dyDescent="0.25">
      <c r="A296" t="s">
        <v>221</v>
      </c>
      <c r="B296" t="s">
        <v>328</v>
      </c>
    </row>
    <row r="297" spans="1:2" x14ac:dyDescent="0.25">
      <c r="A297" t="s">
        <v>208</v>
      </c>
      <c r="B297" t="s">
        <v>417</v>
      </c>
    </row>
    <row r="298" spans="1:2" x14ac:dyDescent="0.25">
      <c r="A298" t="s">
        <v>203</v>
      </c>
      <c r="B298" t="s">
        <v>418</v>
      </c>
    </row>
    <row r="299" spans="1:2" x14ac:dyDescent="0.25">
      <c r="A299" t="s">
        <v>203</v>
      </c>
      <c r="B299" t="s">
        <v>419</v>
      </c>
    </row>
    <row r="300" spans="1:2" x14ac:dyDescent="0.25">
      <c r="A300" t="s">
        <v>208</v>
      </c>
      <c r="B300" t="s">
        <v>420</v>
      </c>
    </row>
    <row r="301" spans="1:2" x14ac:dyDescent="0.25">
      <c r="A301" t="s">
        <v>203</v>
      </c>
      <c r="B301" t="s">
        <v>198</v>
      </c>
    </row>
    <row r="302" spans="1:2" x14ac:dyDescent="0.25">
      <c r="A302" t="s">
        <v>203</v>
      </c>
      <c r="B302" t="s">
        <v>421</v>
      </c>
    </row>
    <row r="303" spans="1:2" x14ac:dyDescent="0.25">
      <c r="A303" t="s">
        <v>203</v>
      </c>
      <c r="B303" t="s">
        <v>53</v>
      </c>
    </row>
    <row r="304" spans="1:2" x14ac:dyDescent="0.25">
      <c r="A304" t="s">
        <v>208</v>
      </c>
      <c r="B304" t="s">
        <v>96</v>
      </c>
    </row>
    <row r="305" spans="1:2" x14ac:dyDescent="0.25">
      <c r="A305" t="s">
        <v>203</v>
      </c>
      <c r="B305" t="s">
        <v>218</v>
      </c>
    </row>
    <row r="306" spans="1:2" x14ac:dyDescent="0.25">
      <c r="A306" t="s">
        <v>201</v>
      </c>
      <c r="B306" t="s">
        <v>214</v>
      </c>
    </row>
    <row r="307" spans="1:2" x14ac:dyDescent="0.25">
      <c r="A307" t="s">
        <v>203</v>
      </c>
      <c r="B307" t="s">
        <v>422</v>
      </c>
    </row>
    <row r="308" spans="1:2" x14ac:dyDescent="0.25">
      <c r="A308" t="s">
        <v>201</v>
      </c>
      <c r="B308" t="s">
        <v>328</v>
      </c>
    </row>
    <row r="309" spans="1:2" x14ac:dyDescent="0.25">
      <c r="A309" t="s">
        <v>201</v>
      </c>
      <c r="B309" t="s">
        <v>423</v>
      </c>
    </row>
    <row r="310" spans="1:2" x14ac:dyDescent="0.25">
      <c r="A310" t="s">
        <v>221</v>
      </c>
      <c r="B310" t="s">
        <v>424</v>
      </c>
    </row>
    <row r="311" spans="1:2" x14ac:dyDescent="0.25">
      <c r="A311" t="s">
        <v>203</v>
      </c>
      <c r="B311" t="s">
        <v>425</v>
      </c>
    </row>
    <row r="312" spans="1:2" x14ac:dyDescent="0.25">
      <c r="A312" t="s">
        <v>201</v>
      </c>
      <c r="B312" t="s">
        <v>426</v>
      </c>
    </row>
    <row r="313" spans="1:2" x14ac:dyDescent="0.25">
      <c r="A313" t="s">
        <v>201</v>
      </c>
      <c r="B313" t="s">
        <v>212</v>
      </c>
    </row>
    <row r="314" spans="1:2" x14ac:dyDescent="0.25">
      <c r="A314" t="s">
        <v>201</v>
      </c>
      <c r="B314" t="s">
        <v>221</v>
      </c>
    </row>
    <row r="315" spans="1:2" x14ac:dyDescent="0.25">
      <c r="A315" t="s">
        <v>221</v>
      </c>
      <c r="B315" t="s">
        <v>427</v>
      </c>
    </row>
    <row r="316" spans="1:2" x14ac:dyDescent="0.25">
      <c r="A316" t="s">
        <v>221</v>
      </c>
      <c r="B316" t="s">
        <v>428</v>
      </c>
    </row>
    <row r="317" spans="1:2" x14ac:dyDescent="0.25">
      <c r="A317" t="s">
        <v>201</v>
      </c>
      <c r="B317" t="s">
        <v>429</v>
      </c>
    </row>
    <row r="318" spans="1:2" x14ac:dyDescent="0.25">
      <c r="A318" t="s">
        <v>201</v>
      </c>
      <c r="B318" t="s">
        <v>430</v>
      </c>
    </row>
    <row r="319" spans="1:2" x14ac:dyDescent="0.25">
      <c r="A319" t="s">
        <v>203</v>
      </c>
      <c r="B319" t="s">
        <v>431</v>
      </c>
    </row>
    <row r="320" spans="1:2" x14ac:dyDescent="0.25">
      <c r="A320" t="s">
        <v>226</v>
      </c>
      <c r="B320" t="s">
        <v>432</v>
      </c>
    </row>
    <row r="321" spans="1:2" x14ac:dyDescent="0.25">
      <c r="A321" t="s">
        <v>203</v>
      </c>
      <c r="B321" t="s">
        <v>331</v>
      </c>
    </row>
    <row r="322" spans="1:2" x14ac:dyDescent="0.25">
      <c r="A322" t="s">
        <v>203</v>
      </c>
      <c r="B322" t="s">
        <v>213</v>
      </c>
    </row>
    <row r="323" spans="1:2" x14ac:dyDescent="0.25">
      <c r="A323" t="s">
        <v>201</v>
      </c>
      <c r="B323" t="s">
        <v>433</v>
      </c>
    </row>
    <row r="324" spans="1:2" x14ac:dyDescent="0.25">
      <c r="A324" t="s">
        <v>226</v>
      </c>
      <c r="B324" t="s">
        <v>434</v>
      </c>
    </row>
    <row r="325" spans="1:2" x14ac:dyDescent="0.25">
      <c r="A325" t="s">
        <v>201</v>
      </c>
      <c r="B325" t="s">
        <v>435</v>
      </c>
    </row>
    <row r="326" spans="1:2" x14ac:dyDescent="0.25">
      <c r="A326" t="s">
        <v>201</v>
      </c>
      <c r="B326" t="s">
        <v>146</v>
      </c>
    </row>
    <row r="327" spans="1:2" x14ac:dyDescent="0.25">
      <c r="A327" t="s">
        <v>203</v>
      </c>
      <c r="B327" t="s">
        <v>436</v>
      </c>
    </row>
    <row r="328" spans="1:2" x14ac:dyDescent="0.25">
      <c r="A328" t="s">
        <v>203</v>
      </c>
      <c r="B328" t="s">
        <v>198</v>
      </c>
    </row>
    <row r="329" spans="1:2" x14ac:dyDescent="0.25">
      <c r="A329" t="s">
        <v>201</v>
      </c>
      <c r="B329" t="s">
        <v>375</v>
      </c>
    </row>
    <row r="330" spans="1:2" x14ac:dyDescent="0.25">
      <c r="A330" t="s">
        <v>203</v>
      </c>
      <c r="B330" t="s">
        <v>437</v>
      </c>
    </row>
    <row r="331" spans="1:2" x14ac:dyDescent="0.25">
      <c r="A331" t="s">
        <v>203</v>
      </c>
      <c r="B331" t="s">
        <v>438</v>
      </c>
    </row>
    <row r="332" spans="1:2" x14ac:dyDescent="0.25">
      <c r="A332" t="s">
        <v>208</v>
      </c>
      <c r="B332" t="s">
        <v>439</v>
      </c>
    </row>
    <row r="333" spans="1:2" x14ac:dyDescent="0.25">
      <c r="A333" t="s">
        <v>201</v>
      </c>
      <c r="B333" t="s">
        <v>440</v>
      </c>
    </row>
    <row r="334" spans="1:2" x14ac:dyDescent="0.25">
      <c r="A334" t="s">
        <v>201</v>
      </c>
      <c r="B334" t="s">
        <v>309</v>
      </c>
    </row>
    <row r="335" spans="1:2" x14ac:dyDescent="0.25">
      <c r="A335" t="s">
        <v>203</v>
      </c>
      <c r="B335" t="s">
        <v>278</v>
      </c>
    </row>
    <row r="336" spans="1:2" x14ac:dyDescent="0.25">
      <c r="A336" t="s">
        <v>203</v>
      </c>
      <c r="B336" t="s">
        <v>441</v>
      </c>
    </row>
    <row r="337" spans="1:2" x14ac:dyDescent="0.25">
      <c r="A337" t="s">
        <v>203</v>
      </c>
      <c r="B337" t="s">
        <v>198</v>
      </c>
    </row>
    <row r="338" spans="1:2" x14ac:dyDescent="0.25">
      <c r="A338" t="s">
        <v>221</v>
      </c>
      <c r="B338" t="s">
        <v>442</v>
      </c>
    </row>
    <row r="339" spans="1:2" x14ac:dyDescent="0.25">
      <c r="A339" t="s">
        <v>208</v>
      </c>
      <c r="B339" t="s">
        <v>443</v>
      </c>
    </row>
    <row r="340" spans="1:2" x14ac:dyDescent="0.25">
      <c r="A340" t="s">
        <v>203</v>
      </c>
      <c r="B340" t="s">
        <v>278</v>
      </c>
    </row>
    <row r="341" spans="1:2" x14ac:dyDescent="0.25">
      <c r="A341" t="s">
        <v>203</v>
      </c>
      <c r="B341" t="s">
        <v>206</v>
      </c>
    </row>
    <row r="342" spans="1:2" x14ac:dyDescent="0.25">
      <c r="A342" t="s">
        <v>221</v>
      </c>
      <c r="B342" t="s">
        <v>444</v>
      </c>
    </row>
    <row r="343" spans="1:2" x14ac:dyDescent="0.25">
      <c r="A343" t="s">
        <v>203</v>
      </c>
      <c r="B343" t="s">
        <v>445</v>
      </c>
    </row>
    <row r="344" spans="1:2" x14ac:dyDescent="0.25">
      <c r="A344" t="s">
        <v>203</v>
      </c>
      <c r="B344" t="s">
        <v>446</v>
      </c>
    </row>
    <row r="345" spans="1:2" x14ac:dyDescent="0.25">
      <c r="A345" t="s">
        <v>201</v>
      </c>
      <c r="B345" t="s">
        <v>212</v>
      </c>
    </row>
    <row r="346" spans="1:2" x14ac:dyDescent="0.25">
      <c r="A346" t="s">
        <v>208</v>
      </c>
      <c r="B346" t="s">
        <v>214</v>
      </c>
    </row>
    <row r="347" spans="1:2" x14ac:dyDescent="0.25">
      <c r="A347" t="s">
        <v>203</v>
      </c>
      <c r="B347" t="s">
        <v>331</v>
      </c>
    </row>
    <row r="348" spans="1:2" x14ac:dyDescent="0.25">
      <c r="A348" t="s">
        <v>203</v>
      </c>
      <c r="B348" t="s">
        <v>447</v>
      </c>
    </row>
    <row r="349" spans="1:2" x14ac:dyDescent="0.25">
      <c r="A349" t="s">
        <v>203</v>
      </c>
      <c r="B349" t="s">
        <v>198</v>
      </c>
    </row>
    <row r="350" spans="1:2" x14ac:dyDescent="0.25">
      <c r="A350" t="s">
        <v>221</v>
      </c>
      <c r="B350" t="s">
        <v>263</v>
      </c>
    </row>
    <row r="351" spans="1:2" x14ac:dyDescent="0.25">
      <c r="A351" t="s">
        <v>203</v>
      </c>
      <c r="B351" t="s">
        <v>448</v>
      </c>
    </row>
    <row r="352" spans="1:2" x14ac:dyDescent="0.25">
      <c r="A352" t="s">
        <v>208</v>
      </c>
      <c r="B352" t="s">
        <v>449</v>
      </c>
    </row>
    <row r="353" spans="1:2" x14ac:dyDescent="0.25">
      <c r="A353" t="s">
        <v>221</v>
      </c>
      <c r="B353" t="s">
        <v>450</v>
      </c>
    </row>
    <row r="354" spans="1:2" x14ac:dyDescent="0.25">
      <c r="A354" t="s">
        <v>201</v>
      </c>
      <c r="B354" t="s">
        <v>451</v>
      </c>
    </row>
    <row r="355" spans="1:2" x14ac:dyDescent="0.25">
      <c r="A355" t="s">
        <v>201</v>
      </c>
      <c r="B355" t="s">
        <v>280</v>
      </c>
    </row>
    <row r="356" spans="1:2" x14ac:dyDescent="0.25">
      <c r="A356" t="s">
        <v>221</v>
      </c>
      <c r="B356" t="s">
        <v>452</v>
      </c>
    </row>
    <row r="357" spans="1:2" x14ac:dyDescent="0.25">
      <c r="A357" t="s">
        <v>203</v>
      </c>
      <c r="B357" t="s">
        <v>453</v>
      </c>
    </row>
    <row r="358" spans="1:2" x14ac:dyDescent="0.25">
      <c r="A358" t="s">
        <v>203</v>
      </c>
      <c r="B358" t="s">
        <v>278</v>
      </c>
    </row>
    <row r="359" spans="1:2" x14ac:dyDescent="0.25">
      <c r="A359" t="s">
        <v>203</v>
      </c>
      <c r="B359" t="s">
        <v>278</v>
      </c>
    </row>
    <row r="360" spans="1:2" x14ac:dyDescent="0.25">
      <c r="A360" t="s">
        <v>203</v>
      </c>
      <c r="B360" t="s">
        <v>454</v>
      </c>
    </row>
    <row r="361" spans="1:2" x14ac:dyDescent="0.25">
      <c r="A361" t="s">
        <v>203</v>
      </c>
      <c r="B361" t="s">
        <v>263</v>
      </c>
    </row>
    <row r="362" spans="1:2" x14ac:dyDescent="0.25">
      <c r="A362" t="s">
        <v>203</v>
      </c>
      <c r="B362" t="s">
        <v>206</v>
      </c>
    </row>
    <row r="363" spans="1:2" x14ac:dyDescent="0.25">
      <c r="A363" t="s">
        <v>221</v>
      </c>
      <c r="B363" t="s">
        <v>236</v>
      </c>
    </row>
    <row r="364" spans="1:2" x14ac:dyDescent="0.25">
      <c r="A364" t="s">
        <v>201</v>
      </c>
      <c r="B364" t="s">
        <v>455</v>
      </c>
    </row>
    <row r="365" spans="1:2" x14ac:dyDescent="0.25">
      <c r="A365" t="s">
        <v>203</v>
      </c>
      <c r="B365" t="s">
        <v>456</v>
      </c>
    </row>
    <row r="366" spans="1:2" x14ac:dyDescent="0.25">
      <c r="A366" t="s">
        <v>221</v>
      </c>
      <c r="B366" t="s">
        <v>328</v>
      </c>
    </row>
    <row r="367" spans="1:2" x14ac:dyDescent="0.25">
      <c r="A367" t="s">
        <v>201</v>
      </c>
      <c r="B367" t="s">
        <v>457</v>
      </c>
    </row>
    <row r="368" spans="1:2" x14ac:dyDescent="0.25">
      <c r="A368" t="s">
        <v>208</v>
      </c>
      <c r="B368" t="s">
        <v>74</v>
      </c>
    </row>
    <row r="369" spans="1:2" x14ac:dyDescent="0.25">
      <c r="A369" t="s">
        <v>203</v>
      </c>
      <c r="B369" t="s">
        <v>458</v>
      </c>
    </row>
    <row r="370" spans="1:2" x14ac:dyDescent="0.25">
      <c r="A370" t="s">
        <v>208</v>
      </c>
      <c r="B370" t="s">
        <v>459</v>
      </c>
    </row>
    <row r="371" spans="1:2" x14ac:dyDescent="0.25">
      <c r="A371" t="s">
        <v>203</v>
      </c>
      <c r="B371" t="s">
        <v>460</v>
      </c>
    </row>
    <row r="372" spans="1:2" x14ac:dyDescent="0.25">
      <c r="A372" t="s">
        <v>203</v>
      </c>
      <c r="B372" t="s">
        <v>461</v>
      </c>
    </row>
    <row r="373" spans="1:2" x14ac:dyDescent="0.25">
      <c r="A373" t="s">
        <v>201</v>
      </c>
      <c r="B373" t="s">
        <v>462</v>
      </c>
    </row>
    <row r="374" spans="1:2" x14ac:dyDescent="0.25">
      <c r="A374" t="s">
        <v>203</v>
      </c>
      <c r="B374" t="s">
        <v>276</v>
      </c>
    </row>
    <row r="375" spans="1:2" x14ac:dyDescent="0.25">
      <c r="A375" t="s">
        <v>203</v>
      </c>
      <c r="B375" t="s">
        <v>278</v>
      </c>
    </row>
    <row r="376" spans="1:2" x14ac:dyDescent="0.25">
      <c r="A376" t="s">
        <v>203</v>
      </c>
      <c r="B376" t="s">
        <v>463</v>
      </c>
    </row>
    <row r="377" spans="1:2" x14ac:dyDescent="0.25">
      <c r="A377" t="s">
        <v>203</v>
      </c>
      <c r="B377" t="s">
        <v>464</v>
      </c>
    </row>
    <row r="378" spans="1:2" x14ac:dyDescent="0.25">
      <c r="A378" t="s">
        <v>208</v>
      </c>
      <c r="B378" t="s">
        <v>465</v>
      </c>
    </row>
    <row r="379" spans="1:2" x14ac:dyDescent="0.25">
      <c r="A379" t="s">
        <v>208</v>
      </c>
      <c r="B379" t="s">
        <v>466</v>
      </c>
    </row>
    <row r="380" spans="1:2" x14ac:dyDescent="0.25">
      <c r="A380" t="s">
        <v>201</v>
      </c>
      <c r="B380" t="s">
        <v>309</v>
      </c>
    </row>
    <row r="381" spans="1:2" x14ac:dyDescent="0.25">
      <c r="A381" t="s">
        <v>203</v>
      </c>
      <c r="B381" t="s">
        <v>295</v>
      </c>
    </row>
    <row r="382" spans="1:2" x14ac:dyDescent="0.25">
      <c r="A382" t="s">
        <v>201</v>
      </c>
      <c r="B382" t="s">
        <v>467</v>
      </c>
    </row>
    <row r="383" spans="1:2" x14ac:dyDescent="0.25">
      <c r="A383" t="s">
        <v>201</v>
      </c>
      <c r="B383" t="s">
        <v>251</v>
      </c>
    </row>
    <row r="384" spans="1:2" x14ac:dyDescent="0.25">
      <c r="A384" t="s">
        <v>203</v>
      </c>
      <c r="B384" t="s">
        <v>72</v>
      </c>
    </row>
    <row r="385" spans="1:2" x14ac:dyDescent="0.25">
      <c r="A385" t="s">
        <v>208</v>
      </c>
      <c r="B385" t="s">
        <v>468</v>
      </c>
    </row>
    <row r="386" spans="1:2" x14ac:dyDescent="0.25">
      <c r="A386" t="s">
        <v>203</v>
      </c>
      <c r="B386" t="s">
        <v>206</v>
      </c>
    </row>
    <row r="387" spans="1:2" x14ac:dyDescent="0.25">
      <c r="A387" t="s">
        <v>221</v>
      </c>
      <c r="B387" t="s">
        <v>404</v>
      </c>
    </row>
    <row r="388" spans="1:2" x14ac:dyDescent="0.25">
      <c r="A388" t="s">
        <v>203</v>
      </c>
      <c r="B388" t="s">
        <v>72</v>
      </c>
    </row>
    <row r="389" spans="1:2" x14ac:dyDescent="0.25">
      <c r="A389" t="s">
        <v>221</v>
      </c>
      <c r="B389" t="s">
        <v>469</v>
      </c>
    </row>
    <row r="390" spans="1:2" x14ac:dyDescent="0.25">
      <c r="A390" t="s">
        <v>208</v>
      </c>
      <c r="B390" t="s">
        <v>470</v>
      </c>
    </row>
    <row r="391" spans="1:2" x14ac:dyDescent="0.25">
      <c r="A391" t="s">
        <v>203</v>
      </c>
      <c r="B391" t="s">
        <v>471</v>
      </c>
    </row>
    <row r="392" spans="1:2" x14ac:dyDescent="0.25">
      <c r="A392" t="s">
        <v>203</v>
      </c>
      <c r="B392" t="s">
        <v>472</v>
      </c>
    </row>
    <row r="393" spans="1:2" x14ac:dyDescent="0.25">
      <c r="A393" t="s">
        <v>208</v>
      </c>
      <c r="B393" t="s">
        <v>198</v>
      </c>
    </row>
    <row r="394" spans="1:2" x14ac:dyDescent="0.25">
      <c r="A394" t="s">
        <v>208</v>
      </c>
      <c r="B394" t="s">
        <v>82</v>
      </c>
    </row>
    <row r="395" spans="1:2" x14ac:dyDescent="0.25">
      <c r="A395" t="s">
        <v>208</v>
      </c>
      <c r="B395" t="s">
        <v>473</v>
      </c>
    </row>
    <row r="396" spans="1:2" x14ac:dyDescent="0.25">
      <c r="A396" t="s">
        <v>208</v>
      </c>
      <c r="B396" t="s">
        <v>474</v>
      </c>
    </row>
    <row r="397" spans="1:2" x14ac:dyDescent="0.25">
      <c r="A397" t="s">
        <v>203</v>
      </c>
      <c r="B397" t="s">
        <v>198</v>
      </c>
    </row>
    <row r="398" spans="1:2" x14ac:dyDescent="0.25">
      <c r="A398" t="s">
        <v>203</v>
      </c>
      <c r="B398" t="s">
        <v>475</v>
      </c>
    </row>
    <row r="399" spans="1:2" x14ac:dyDescent="0.25">
      <c r="A399" t="s">
        <v>203</v>
      </c>
      <c r="B399" t="s">
        <v>476</v>
      </c>
    </row>
    <row r="400" spans="1:2" x14ac:dyDescent="0.25">
      <c r="A400" t="s">
        <v>201</v>
      </c>
      <c r="B400" t="s">
        <v>477</v>
      </c>
    </row>
    <row r="401" spans="1:2" x14ac:dyDescent="0.25">
      <c r="A401" t="s">
        <v>201</v>
      </c>
      <c r="B401" t="s">
        <v>478</v>
      </c>
    </row>
    <row r="402" spans="1:2" x14ac:dyDescent="0.25">
      <c r="A402" t="s">
        <v>203</v>
      </c>
      <c r="B402" t="s">
        <v>212</v>
      </c>
    </row>
    <row r="403" spans="1:2" x14ac:dyDescent="0.25">
      <c r="A403" t="s">
        <v>203</v>
      </c>
      <c r="B403" t="s">
        <v>479</v>
      </c>
    </row>
    <row r="404" spans="1:2" x14ac:dyDescent="0.25">
      <c r="A404" t="s">
        <v>201</v>
      </c>
      <c r="B404" t="s">
        <v>480</v>
      </c>
    </row>
    <row r="405" spans="1:2" x14ac:dyDescent="0.25">
      <c r="A405" t="s">
        <v>203</v>
      </c>
      <c r="B405" t="s">
        <v>481</v>
      </c>
    </row>
    <row r="406" spans="1:2" x14ac:dyDescent="0.25">
      <c r="A406" t="s">
        <v>203</v>
      </c>
      <c r="B406" t="s">
        <v>78</v>
      </c>
    </row>
    <row r="407" spans="1:2" x14ac:dyDescent="0.25">
      <c r="A407" t="s">
        <v>221</v>
      </c>
      <c r="B407" t="s">
        <v>207</v>
      </c>
    </row>
    <row r="408" spans="1:2" x14ac:dyDescent="0.25">
      <c r="A408" t="s">
        <v>201</v>
      </c>
      <c r="B408" t="s">
        <v>482</v>
      </c>
    </row>
    <row r="409" spans="1:2" x14ac:dyDescent="0.25">
      <c r="A409" t="s">
        <v>208</v>
      </c>
      <c r="B409" t="s">
        <v>483</v>
      </c>
    </row>
    <row r="410" spans="1:2" x14ac:dyDescent="0.25">
      <c r="A410" t="s">
        <v>221</v>
      </c>
      <c r="B410" t="s">
        <v>484</v>
      </c>
    </row>
    <row r="411" spans="1:2" x14ac:dyDescent="0.25">
      <c r="A411" t="s">
        <v>203</v>
      </c>
      <c r="B411" t="s">
        <v>53</v>
      </c>
    </row>
    <row r="412" spans="1:2" x14ac:dyDescent="0.25">
      <c r="A412" t="s">
        <v>203</v>
      </c>
      <c r="B412" t="s">
        <v>485</v>
      </c>
    </row>
    <row r="413" spans="1:2" x14ac:dyDescent="0.25">
      <c r="A413" t="s">
        <v>226</v>
      </c>
      <c r="B413" t="s">
        <v>486</v>
      </c>
    </row>
    <row r="414" spans="1:2" x14ac:dyDescent="0.25">
      <c r="A414" t="s">
        <v>221</v>
      </c>
      <c r="B414" t="s">
        <v>487</v>
      </c>
    </row>
    <row r="415" spans="1:2" x14ac:dyDescent="0.25">
      <c r="A415" t="s">
        <v>203</v>
      </c>
      <c r="B415" t="s">
        <v>206</v>
      </c>
    </row>
    <row r="416" spans="1:2" x14ac:dyDescent="0.25">
      <c r="A416" t="s">
        <v>221</v>
      </c>
      <c r="B416" t="s">
        <v>488</v>
      </c>
    </row>
    <row r="417" spans="1:2" x14ac:dyDescent="0.25">
      <c r="A417" t="s">
        <v>203</v>
      </c>
      <c r="B417" t="s">
        <v>489</v>
      </c>
    </row>
    <row r="418" spans="1:2" x14ac:dyDescent="0.25">
      <c r="A418" t="s">
        <v>208</v>
      </c>
      <c r="B418" t="s">
        <v>490</v>
      </c>
    </row>
    <row r="419" spans="1:2" x14ac:dyDescent="0.25">
      <c r="A419" t="s">
        <v>203</v>
      </c>
      <c r="B419" t="s">
        <v>491</v>
      </c>
    </row>
    <row r="420" spans="1:2" x14ac:dyDescent="0.25">
      <c r="A420" t="s">
        <v>201</v>
      </c>
      <c r="B420" t="s">
        <v>492</v>
      </c>
    </row>
    <row r="421" spans="1:2" x14ac:dyDescent="0.25">
      <c r="A421" t="s">
        <v>203</v>
      </c>
      <c r="B421" t="s">
        <v>493</v>
      </c>
    </row>
    <row r="422" spans="1:2" x14ac:dyDescent="0.25">
      <c r="A422" t="s">
        <v>203</v>
      </c>
      <c r="B422" t="s">
        <v>214</v>
      </c>
    </row>
    <row r="423" spans="1:2" x14ac:dyDescent="0.25">
      <c r="A423" t="s">
        <v>203</v>
      </c>
      <c r="B423" t="s">
        <v>494</v>
      </c>
    </row>
    <row r="424" spans="1:2" x14ac:dyDescent="0.25">
      <c r="A424" t="s">
        <v>203</v>
      </c>
      <c r="B424" t="s">
        <v>495</v>
      </c>
    </row>
    <row r="425" spans="1:2" x14ac:dyDescent="0.25">
      <c r="A425" t="s">
        <v>203</v>
      </c>
      <c r="B425" t="s">
        <v>278</v>
      </c>
    </row>
    <row r="426" spans="1:2" x14ac:dyDescent="0.25">
      <c r="A426" t="s">
        <v>221</v>
      </c>
      <c r="B426" t="s">
        <v>496</v>
      </c>
    </row>
    <row r="427" spans="1:2" x14ac:dyDescent="0.25">
      <c r="A427" t="s">
        <v>201</v>
      </c>
      <c r="B427" t="s">
        <v>497</v>
      </c>
    </row>
    <row r="428" spans="1:2" x14ac:dyDescent="0.25">
      <c r="A428" t="s">
        <v>208</v>
      </c>
      <c r="B428" t="s">
        <v>498</v>
      </c>
    </row>
    <row r="429" spans="1:2" x14ac:dyDescent="0.25">
      <c r="A429" t="s">
        <v>203</v>
      </c>
      <c r="B429" t="s">
        <v>53</v>
      </c>
    </row>
    <row r="430" spans="1:2" x14ac:dyDescent="0.25">
      <c r="A430" t="s">
        <v>203</v>
      </c>
      <c r="B430" t="s">
        <v>278</v>
      </c>
    </row>
    <row r="431" spans="1:2" x14ac:dyDescent="0.25">
      <c r="A431" t="s">
        <v>226</v>
      </c>
      <c r="B431" t="s">
        <v>499</v>
      </c>
    </row>
    <row r="432" spans="1:2" x14ac:dyDescent="0.25">
      <c r="A432" t="s">
        <v>208</v>
      </c>
      <c r="B432" t="s">
        <v>500</v>
      </c>
    </row>
    <row r="433" spans="1:2" x14ac:dyDescent="0.25">
      <c r="A433" t="s">
        <v>208</v>
      </c>
      <c r="B433" t="s">
        <v>501</v>
      </c>
    </row>
    <row r="434" spans="1:2" x14ac:dyDescent="0.25">
      <c r="A434" t="s">
        <v>201</v>
      </c>
      <c r="B434" t="s">
        <v>502</v>
      </c>
    </row>
    <row r="435" spans="1:2" x14ac:dyDescent="0.25">
      <c r="A435" t="s">
        <v>203</v>
      </c>
      <c r="B435" t="s">
        <v>503</v>
      </c>
    </row>
    <row r="436" spans="1:2" x14ac:dyDescent="0.25">
      <c r="A436" t="s">
        <v>201</v>
      </c>
      <c r="B436" t="s">
        <v>504</v>
      </c>
    </row>
    <row r="437" spans="1:2" x14ac:dyDescent="0.25">
      <c r="A437" t="s">
        <v>203</v>
      </c>
      <c r="B437" t="s">
        <v>505</v>
      </c>
    </row>
    <row r="438" spans="1:2" x14ac:dyDescent="0.25">
      <c r="A438" t="s">
        <v>203</v>
      </c>
      <c r="B438" t="s">
        <v>206</v>
      </c>
    </row>
    <row r="439" spans="1:2" x14ac:dyDescent="0.25">
      <c r="A439" t="s">
        <v>221</v>
      </c>
      <c r="B439" t="s">
        <v>506</v>
      </c>
    </row>
    <row r="440" spans="1:2" x14ac:dyDescent="0.25">
      <c r="A440" t="s">
        <v>203</v>
      </c>
      <c r="B440" t="s">
        <v>507</v>
      </c>
    </row>
    <row r="441" spans="1:2" x14ac:dyDescent="0.25">
      <c r="A441" t="s">
        <v>203</v>
      </c>
      <c r="B441" t="s">
        <v>162</v>
      </c>
    </row>
    <row r="442" spans="1:2" x14ac:dyDescent="0.25">
      <c r="A442" t="s">
        <v>201</v>
      </c>
      <c r="B442" t="s">
        <v>206</v>
      </c>
    </row>
    <row r="443" spans="1:2" x14ac:dyDescent="0.25">
      <c r="A443" t="s">
        <v>226</v>
      </c>
      <c r="B443" t="s">
        <v>508</v>
      </c>
    </row>
    <row r="444" spans="1:2" x14ac:dyDescent="0.25">
      <c r="A444" t="s">
        <v>203</v>
      </c>
      <c r="B444" t="s">
        <v>509</v>
      </c>
    </row>
    <row r="445" spans="1:2" x14ac:dyDescent="0.25">
      <c r="A445" t="s">
        <v>208</v>
      </c>
      <c r="B445" t="s">
        <v>510</v>
      </c>
    </row>
    <row r="446" spans="1:2" x14ac:dyDescent="0.25">
      <c r="A446" t="s">
        <v>208</v>
      </c>
      <c r="B446" t="s">
        <v>511</v>
      </c>
    </row>
    <row r="447" spans="1:2" x14ac:dyDescent="0.25">
      <c r="A447" t="s">
        <v>201</v>
      </c>
      <c r="B447" t="s">
        <v>512</v>
      </c>
    </row>
    <row r="448" spans="1:2" x14ac:dyDescent="0.25">
      <c r="A448" t="s">
        <v>208</v>
      </c>
      <c r="B448" t="s">
        <v>513</v>
      </c>
    </row>
    <row r="449" spans="1:2" x14ac:dyDescent="0.25">
      <c r="A449" t="s">
        <v>203</v>
      </c>
      <c r="B449" t="s">
        <v>514</v>
      </c>
    </row>
    <row r="450" spans="1:2" x14ac:dyDescent="0.25">
      <c r="A450" t="s">
        <v>203</v>
      </c>
      <c r="B450" t="s">
        <v>260</v>
      </c>
    </row>
    <row r="451" spans="1:2" x14ac:dyDescent="0.25">
      <c r="A451" t="s">
        <v>203</v>
      </c>
      <c r="B451" t="s">
        <v>214</v>
      </c>
    </row>
    <row r="452" spans="1:2" x14ac:dyDescent="0.25">
      <c r="A452" t="s">
        <v>203</v>
      </c>
      <c r="B452" t="s">
        <v>515</v>
      </c>
    </row>
    <row r="453" spans="1:2" x14ac:dyDescent="0.25">
      <c r="A453" t="s">
        <v>208</v>
      </c>
      <c r="B453" t="s">
        <v>516</v>
      </c>
    </row>
    <row r="454" spans="1:2" x14ac:dyDescent="0.25">
      <c r="A454" t="s">
        <v>201</v>
      </c>
      <c r="B454" t="s">
        <v>517</v>
      </c>
    </row>
    <row r="455" spans="1:2" x14ac:dyDescent="0.25">
      <c r="A455" t="s">
        <v>226</v>
      </c>
      <c r="B455" t="s">
        <v>518</v>
      </c>
    </row>
    <row r="456" spans="1:2" x14ac:dyDescent="0.25">
      <c r="A456" t="s">
        <v>203</v>
      </c>
      <c r="B456" t="s">
        <v>96</v>
      </c>
    </row>
    <row r="457" spans="1:2" x14ac:dyDescent="0.25">
      <c r="A457" t="s">
        <v>201</v>
      </c>
      <c r="B457" t="s">
        <v>212</v>
      </c>
    </row>
    <row r="458" spans="1:2" x14ac:dyDescent="0.25">
      <c r="A458" t="s">
        <v>203</v>
      </c>
      <c r="B458" t="s">
        <v>432</v>
      </c>
    </row>
    <row r="459" spans="1:2" x14ac:dyDescent="0.25">
      <c r="A459" t="s">
        <v>203</v>
      </c>
      <c r="B459" t="s">
        <v>53</v>
      </c>
    </row>
    <row r="460" spans="1:2" x14ac:dyDescent="0.25">
      <c r="A460" t="s">
        <v>203</v>
      </c>
      <c r="B460" t="s">
        <v>519</v>
      </c>
    </row>
    <row r="461" spans="1:2" x14ac:dyDescent="0.25">
      <c r="A461" t="s">
        <v>208</v>
      </c>
      <c r="B461" t="s">
        <v>520</v>
      </c>
    </row>
    <row r="462" spans="1:2" x14ac:dyDescent="0.25">
      <c r="A462" t="s">
        <v>201</v>
      </c>
      <c r="B462" t="s">
        <v>521</v>
      </c>
    </row>
    <row r="463" spans="1:2" x14ac:dyDescent="0.25">
      <c r="A463" t="s">
        <v>208</v>
      </c>
      <c r="B463" t="s">
        <v>522</v>
      </c>
    </row>
    <row r="464" spans="1:2" x14ac:dyDescent="0.25">
      <c r="A464" t="s">
        <v>203</v>
      </c>
      <c r="B464" t="s">
        <v>523</v>
      </c>
    </row>
    <row r="465" spans="1:2" x14ac:dyDescent="0.25">
      <c r="A465" t="s">
        <v>201</v>
      </c>
      <c r="B465" t="s">
        <v>524</v>
      </c>
    </row>
    <row r="466" spans="1:2" x14ac:dyDescent="0.25">
      <c r="A466" t="s">
        <v>203</v>
      </c>
      <c r="B466" t="s">
        <v>525</v>
      </c>
    </row>
    <row r="467" spans="1:2" x14ac:dyDescent="0.25">
      <c r="A467" t="s">
        <v>221</v>
      </c>
      <c r="B467" t="s">
        <v>526</v>
      </c>
    </row>
    <row r="468" spans="1:2" x14ac:dyDescent="0.25">
      <c r="A468" t="s">
        <v>201</v>
      </c>
      <c r="B468" t="s">
        <v>527</v>
      </c>
    </row>
    <row r="469" spans="1:2" x14ac:dyDescent="0.25">
      <c r="A469" t="s">
        <v>203</v>
      </c>
      <c r="B469" t="s">
        <v>528</v>
      </c>
    </row>
    <row r="470" spans="1:2" x14ac:dyDescent="0.25">
      <c r="A470" t="s">
        <v>208</v>
      </c>
      <c r="B470" t="s">
        <v>529</v>
      </c>
    </row>
    <row r="471" spans="1:2" x14ac:dyDescent="0.25">
      <c r="A471" t="s">
        <v>203</v>
      </c>
      <c r="B471" t="s">
        <v>530</v>
      </c>
    </row>
    <row r="472" spans="1:2" x14ac:dyDescent="0.25">
      <c r="A472" t="s">
        <v>203</v>
      </c>
      <c r="B472" t="s">
        <v>395</v>
      </c>
    </row>
    <row r="473" spans="1:2" x14ac:dyDescent="0.25">
      <c r="A473" t="s">
        <v>221</v>
      </c>
      <c r="B473" t="s">
        <v>531</v>
      </c>
    </row>
    <row r="474" spans="1:2" x14ac:dyDescent="0.25">
      <c r="A474" t="s">
        <v>203</v>
      </c>
      <c r="B474" t="s">
        <v>532</v>
      </c>
    </row>
    <row r="475" spans="1:2" x14ac:dyDescent="0.25">
      <c r="A475" t="s">
        <v>208</v>
      </c>
      <c r="B475" t="s">
        <v>533</v>
      </c>
    </row>
    <row r="476" spans="1:2" x14ac:dyDescent="0.25">
      <c r="A476" t="s">
        <v>208</v>
      </c>
      <c r="B476" t="s">
        <v>534</v>
      </c>
    </row>
    <row r="477" spans="1:2" x14ac:dyDescent="0.25">
      <c r="A477" t="s">
        <v>203</v>
      </c>
      <c r="B477" t="s">
        <v>535</v>
      </c>
    </row>
    <row r="478" spans="1:2" x14ac:dyDescent="0.25">
      <c r="A478" t="s">
        <v>203</v>
      </c>
      <c r="B478" t="s">
        <v>536</v>
      </c>
    </row>
    <row r="479" spans="1:2" x14ac:dyDescent="0.25">
      <c r="A479" t="s">
        <v>208</v>
      </c>
      <c r="B479" t="s">
        <v>46</v>
      </c>
    </row>
    <row r="480" spans="1:2" x14ac:dyDescent="0.25">
      <c r="A480" t="s">
        <v>201</v>
      </c>
      <c r="B480" t="s">
        <v>236</v>
      </c>
    </row>
    <row r="481" spans="1:2" x14ac:dyDescent="0.25">
      <c r="A481" t="s">
        <v>203</v>
      </c>
      <c r="B481" t="s">
        <v>537</v>
      </c>
    </row>
    <row r="482" spans="1:2" x14ac:dyDescent="0.25">
      <c r="A482" t="s">
        <v>226</v>
      </c>
      <c r="B482" t="s">
        <v>538</v>
      </c>
    </row>
    <row r="483" spans="1:2" x14ac:dyDescent="0.25">
      <c r="A483" t="s">
        <v>203</v>
      </c>
      <c r="B483" t="s">
        <v>42</v>
      </c>
    </row>
    <row r="484" spans="1:2" x14ac:dyDescent="0.25">
      <c r="A484" t="s">
        <v>201</v>
      </c>
      <c r="B484" t="s">
        <v>539</v>
      </c>
    </row>
    <row r="485" spans="1:2" x14ac:dyDescent="0.25">
      <c r="A485" t="s">
        <v>201</v>
      </c>
      <c r="B485" t="s">
        <v>35</v>
      </c>
    </row>
    <row r="486" spans="1:2" x14ac:dyDescent="0.25">
      <c r="A486" t="s">
        <v>203</v>
      </c>
      <c r="B486" t="s">
        <v>540</v>
      </c>
    </row>
    <row r="487" spans="1:2" x14ac:dyDescent="0.25">
      <c r="A487" t="s">
        <v>203</v>
      </c>
      <c r="B487" t="s">
        <v>53</v>
      </c>
    </row>
    <row r="488" spans="1:2" x14ac:dyDescent="0.25">
      <c r="A488" t="s">
        <v>203</v>
      </c>
      <c r="B488" t="s">
        <v>382</v>
      </c>
    </row>
    <row r="489" spans="1:2" x14ac:dyDescent="0.25">
      <c r="A489" t="s">
        <v>203</v>
      </c>
      <c r="B489" t="s">
        <v>541</v>
      </c>
    </row>
    <row r="490" spans="1:2" x14ac:dyDescent="0.25">
      <c r="A490" t="s">
        <v>201</v>
      </c>
      <c r="B490" t="s">
        <v>309</v>
      </c>
    </row>
    <row r="491" spans="1:2" x14ac:dyDescent="0.25">
      <c r="A491" t="s">
        <v>203</v>
      </c>
      <c r="B491" t="s">
        <v>542</v>
      </c>
    </row>
    <row r="492" spans="1:2" x14ac:dyDescent="0.25">
      <c r="A492" t="s">
        <v>226</v>
      </c>
      <c r="B492" t="s">
        <v>543</v>
      </c>
    </row>
    <row r="493" spans="1:2" x14ac:dyDescent="0.25">
      <c r="A493" t="s">
        <v>203</v>
      </c>
      <c r="B493" t="s">
        <v>544</v>
      </c>
    </row>
    <row r="494" spans="1:2" x14ac:dyDescent="0.25">
      <c r="A494" t="s">
        <v>201</v>
      </c>
      <c r="B494" t="s">
        <v>545</v>
      </c>
    </row>
    <row r="495" spans="1:2" x14ac:dyDescent="0.25">
      <c r="A495" t="s">
        <v>208</v>
      </c>
      <c r="B495" t="s">
        <v>546</v>
      </c>
    </row>
    <row r="496" spans="1:2" x14ac:dyDescent="0.25">
      <c r="A496" t="s">
        <v>201</v>
      </c>
      <c r="B496" t="s">
        <v>456</v>
      </c>
    </row>
    <row r="497" spans="1:2" x14ac:dyDescent="0.25">
      <c r="A497" t="s">
        <v>201</v>
      </c>
      <c r="B497" t="s">
        <v>207</v>
      </c>
    </row>
    <row r="498" spans="1:2" x14ac:dyDescent="0.25">
      <c r="A498" t="s">
        <v>201</v>
      </c>
      <c r="B498" t="s">
        <v>547</v>
      </c>
    </row>
    <row r="499" spans="1:2" x14ac:dyDescent="0.25">
      <c r="A499" t="s">
        <v>221</v>
      </c>
      <c r="B499" t="s">
        <v>548</v>
      </c>
    </row>
    <row r="500" spans="1:2" x14ac:dyDescent="0.25">
      <c r="A500" t="s">
        <v>221</v>
      </c>
      <c r="B500" t="s">
        <v>549</v>
      </c>
    </row>
    <row r="501" spans="1:2" x14ac:dyDescent="0.25">
      <c r="A501" t="s">
        <v>208</v>
      </c>
      <c r="B501" t="s">
        <v>550</v>
      </c>
    </row>
    <row r="502" spans="1:2" x14ac:dyDescent="0.25">
      <c r="A502" t="s">
        <v>203</v>
      </c>
      <c r="B502" t="s">
        <v>551</v>
      </c>
    </row>
    <row r="503" spans="1:2" x14ac:dyDescent="0.25">
      <c r="A503" t="s">
        <v>201</v>
      </c>
      <c r="B503" t="s">
        <v>552</v>
      </c>
    </row>
    <row r="504" spans="1:2" x14ac:dyDescent="0.25">
      <c r="A504" t="s">
        <v>208</v>
      </c>
      <c r="B504" t="s">
        <v>553</v>
      </c>
    </row>
    <row r="505" spans="1:2" x14ac:dyDescent="0.25">
      <c r="A505" t="s">
        <v>203</v>
      </c>
      <c r="B505" t="s">
        <v>72</v>
      </c>
    </row>
    <row r="506" spans="1:2" x14ac:dyDescent="0.25">
      <c r="A506" t="s">
        <v>201</v>
      </c>
      <c r="B506" t="s">
        <v>256</v>
      </c>
    </row>
    <row r="507" spans="1:2" x14ac:dyDescent="0.25">
      <c r="A507" t="s">
        <v>208</v>
      </c>
      <c r="B507" t="s">
        <v>554</v>
      </c>
    </row>
    <row r="508" spans="1:2" x14ac:dyDescent="0.25">
      <c r="A508" t="s">
        <v>203</v>
      </c>
      <c r="B508" t="s">
        <v>34</v>
      </c>
    </row>
    <row r="509" spans="1:2" x14ac:dyDescent="0.25">
      <c r="A509" t="s">
        <v>203</v>
      </c>
      <c r="B509" t="s">
        <v>555</v>
      </c>
    </row>
    <row r="510" spans="1:2" x14ac:dyDescent="0.25">
      <c r="A510" t="s">
        <v>203</v>
      </c>
      <c r="B510" t="s">
        <v>556</v>
      </c>
    </row>
    <row r="511" spans="1:2" x14ac:dyDescent="0.25">
      <c r="A511" t="s">
        <v>203</v>
      </c>
      <c r="B511" t="s">
        <v>269</v>
      </c>
    </row>
    <row r="512" spans="1:2" x14ac:dyDescent="0.25">
      <c r="A512" t="s">
        <v>226</v>
      </c>
      <c r="B512" t="s">
        <v>557</v>
      </c>
    </row>
    <row r="513" spans="1:2" x14ac:dyDescent="0.25">
      <c r="A513" t="s">
        <v>221</v>
      </c>
      <c r="B513" t="s">
        <v>235</v>
      </c>
    </row>
    <row r="514" spans="1:2" x14ac:dyDescent="0.25">
      <c r="A514" t="s">
        <v>203</v>
      </c>
      <c r="B514" t="s">
        <v>263</v>
      </c>
    </row>
    <row r="515" spans="1:2" x14ac:dyDescent="0.25">
      <c r="A515" t="s">
        <v>201</v>
      </c>
      <c r="B515" t="s">
        <v>236</v>
      </c>
    </row>
    <row r="516" spans="1:2" x14ac:dyDescent="0.25">
      <c r="A516" t="s">
        <v>203</v>
      </c>
      <c r="B516" t="s">
        <v>234</v>
      </c>
    </row>
    <row r="517" spans="1:2" x14ac:dyDescent="0.25">
      <c r="A517" t="s">
        <v>201</v>
      </c>
      <c r="B517" t="s">
        <v>558</v>
      </c>
    </row>
    <row r="518" spans="1:2" x14ac:dyDescent="0.25">
      <c r="A518" t="s">
        <v>203</v>
      </c>
      <c r="B518" t="s">
        <v>74</v>
      </c>
    </row>
    <row r="519" spans="1:2" x14ac:dyDescent="0.25">
      <c r="A519" t="s">
        <v>201</v>
      </c>
      <c r="B519" t="s">
        <v>328</v>
      </c>
    </row>
    <row r="520" spans="1:2" x14ac:dyDescent="0.25">
      <c r="A520" t="s">
        <v>201</v>
      </c>
      <c r="B520" t="s">
        <v>559</v>
      </c>
    </row>
    <row r="521" spans="1:2" x14ac:dyDescent="0.25">
      <c r="A521" t="s">
        <v>203</v>
      </c>
      <c r="B521" t="s">
        <v>560</v>
      </c>
    </row>
    <row r="522" spans="1:2" x14ac:dyDescent="0.25">
      <c r="A522" t="s">
        <v>203</v>
      </c>
      <c r="B522" t="s">
        <v>561</v>
      </c>
    </row>
    <row r="523" spans="1:2" x14ac:dyDescent="0.25">
      <c r="A523" t="s">
        <v>203</v>
      </c>
      <c r="B523" t="s">
        <v>562</v>
      </c>
    </row>
    <row r="524" spans="1:2" x14ac:dyDescent="0.25">
      <c r="A524" t="s">
        <v>203</v>
      </c>
      <c r="B524" t="s">
        <v>278</v>
      </c>
    </row>
    <row r="525" spans="1:2" x14ac:dyDescent="0.25">
      <c r="A525" t="s">
        <v>203</v>
      </c>
      <c r="B525" t="s">
        <v>563</v>
      </c>
    </row>
    <row r="526" spans="1:2" x14ac:dyDescent="0.25">
      <c r="A526" t="s">
        <v>221</v>
      </c>
      <c r="B526" t="s">
        <v>564</v>
      </c>
    </row>
    <row r="527" spans="1:2" x14ac:dyDescent="0.25">
      <c r="A527" t="s">
        <v>203</v>
      </c>
      <c r="B527" t="s">
        <v>565</v>
      </c>
    </row>
    <row r="528" spans="1:2" x14ac:dyDescent="0.25">
      <c r="A528" t="s">
        <v>201</v>
      </c>
      <c r="B528" t="s">
        <v>256</v>
      </c>
    </row>
    <row r="529" spans="1:2" x14ac:dyDescent="0.25">
      <c r="A529" t="s">
        <v>203</v>
      </c>
      <c r="B529" t="s">
        <v>566</v>
      </c>
    </row>
    <row r="530" spans="1:2" x14ac:dyDescent="0.25">
      <c r="A530" t="s">
        <v>208</v>
      </c>
      <c r="B530" t="s">
        <v>567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2"/>
  <sheetViews>
    <sheetView workbookViewId="0"/>
  </sheetViews>
  <sheetFormatPr defaultRowHeight="15" x14ac:dyDescent="0.25"/>
  <cols>
    <col min="1" max="4" width="30.7109375" customWidth="1"/>
  </cols>
  <sheetData>
    <row r="1" spans="1:1" s="3" customFormat="1" x14ac:dyDescent="0.25">
      <c r="A1" s="9" t="str">
        <f>HYPERLINK("#Tabulka!A64","Kterou **značku** si vybavíte, když vidíte tuto osobnost?")</f>
        <v>Kterou **značku** si vybavíte, když vidíte tuto osobnost?</v>
      </c>
    </row>
    <row r="2" spans="1:1" x14ac:dyDescent="0.25">
      <c r="A2" t="s">
        <v>578</v>
      </c>
    </row>
    <row r="3" spans="1:1" x14ac:dyDescent="0.25">
      <c r="A3" t="s">
        <v>78</v>
      </c>
    </row>
    <row r="4" spans="1:1" x14ac:dyDescent="0.25">
      <c r="A4" t="s">
        <v>579</v>
      </c>
    </row>
    <row r="5" spans="1:1" x14ac:dyDescent="0.25">
      <c r="A5" t="s">
        <v>26</v>
      </c>
    </row>
    <row r="6" spans="1:1" x14ac:dyDescent="0.25">
      <c r="A6" t="s">
        <v>580</v>
      </c>
    </row>
    <row r="7" spans="1:1" x14ac:dyDescent="0.25">
      <c r="A7" t="s">
        <v>581</v>
      </c>
    </row>
    <row r="8" spans="1:1" x14ac:dyDescent="0.25">
      <c r="A8" t="s">
        <v>582</v>
      </c>
    </row>
    <row r="9" spans="1:1" x14ac:dyDescent="0.25">
      <c r="A9" t="s">
        <v>26</v>
      </c>
    </row>
    <row r="10" spans="1:1" x14ac:dyDescent="0.25">
      <c r="A10" t="s">
        <v>47</v>
      </c>
    </row>
    <row r="11" spans="1:1" x14ac:dyDescent="0.25">
      <c r="A11" t="s">
        <v>53</v>
      </c>
    </row>
    <row r="12" spans="1:1" x14ac:dyDescent="0.25">
      <c r="A12" t="s">
        <v>578</v>
      </c>
    </row>
    <row r="13" spans="1:1" x14ac:dyDescent="0.25">
      <c r="A13" t="s">
        <v>583</v>
      </c>
    </row>
    <row r="14" spans="1:1" x14ac:dyDescent="0.25">
      <c r="A14" t="s">
        <v>26</v>
      </c>
    </row>
    <row r="15" spans="1:1" x14ac:dyDescent="0.25">
      <c r="A15" t="s">
        <v>584</v>
      </c>
    </row>
    <row r="16" spans="1:1" x14ac:dyDescent="0.25">
      <c r="A16" t="s">
        <v>48</v>
      </c>
    </row>
    <row r="17" spans="1:1" x14ac:dyDescent="0.25">
      <c r="A17" t="s">
        <v>579</v>
      </c>
    </row>
    <row r="18" spans="1:1" x14ac:dyDescent="0.25">
      <c r="A18" t="s">
        <v>585</v>
      </c>
    </row>
    <row r="19" spans="1:1" x14ac:dyDescent="0.25">
      <c r="A19" t="s">
        <v>578</v>
      </c>
    </row>
    <row r="20" spans="1:1" x14ac:dyDescent="0.25">
      <c r="A20" t="s">
        <v>96</v>
      </c>
    </row>
    <row r="21" spans="1:1" x14ac:dyDescent="0.25">
      <c r="A21" t="s">
        <v>586</v>
      </c>
    </row>
    <row r="22" spans="1:1" x14ac:dyDescent="0.25">
      <c r="A22" t="s">
        <v>53</v>
      </c>
    </row>
    <row r="23" spans="1:1" x14ac:dyDescent="0.25">
      <c r="A23" t="s">
        <v>587</v>
      </c>
    </row>
    <row r="24" spans="1:1" x14ac:dyDescent="0.25">
      <c r="A24" t="s">
        <v>588</v>
      </c>
    </row>
    <row r="25" spans="1:1" x14ac:dyDescent="0.25">
      <c r="A25" t="s">
        <v>589</v>
      </c>
    </row>
    <row r="26" spans="1:1" x14ac:dyDescent="0.25">
      <c r="A26" t="s">
        <v>26</v>
      </c>
    </row>
    <row r="27" spans="1:1" x14ac:dyDescent="0.25">
      <c r="A27" t="s">
        <v>579</v>
      </c>
    </row>
    <row r="28" spans="1:1" x14ac:dyDescent="0.25">
      <c r="A28" t="s">
        <v>590</v>
      </c>
    </row>
    <row r="29" spans="1:1" x14ac:dyDescent="0.25">
      <c r="A29" t="s">
        <v>591</v>
      </c>
    </row>
    <row r="30" spans="1:1" x14ac:dyDescent="0.25">
      <c r="A30" t="s">
        <v>71</v>
      </c>
    </row>
    <row r="31" spans="1:1" x14ac:dyDescent="0.25">
      <c r="A31" t="s">
        <v>47</v>
      </c>
    </row>
    <row r="32" spans="1:1" x14ac:dyDescent="0.25">
      <c r="A32" t="s">
        <v>592</v>
      </c>
    </row>
    <row r="33" spans="1:3" x14ac:dyDescent="0.25">
      <c r="A33" t="s">
        <v>593</v>
      </c>
    </row>
    <row r="34" spans="1:3" x14ac:dyDescent="0.25">
      <c r="A34" t="s">
        <v>26</v>
      </c>
    </row>
    <row r="35" spans="1:3" x14ac:dyDescent="0.25">
      <c r="A35" t="s">
        <v>579</v>
      </c>
    </row>
    <row r="36" spans="1:3" x14ac:dyDescent="0.25">
      <c r="A36" t="s">
        <v>594</v>
      </c>
    </row>
    <row r="37" spans="1:3" x14ac:dyDescent="0.25">
      <c r="A37" t="s">
        <v>578</v>
      </c>
    </row>
    <row r="38" spans="1:3" x14ac:dyDescent="0.25">
      <c r="A38" t="s">
        <v>595</v>
      </c>
    </row>
    <row r="39" spans="1:3" x14ac:dyDescent="0.25">
      <c r="A39" t="s">
        <v>596</v>
      </c>
    </row>
    <row r="40" spans="1:3" x14ac:dyDescent="0.25">
      <c r="A40" t="s">
        <v>26</v>
      </c>
    </row>
    <row r="41" spans="1:3" x14ac:dyDescent="0.25">
      <c r="A41" t="s">
        <v>26</v>
      </c>
    </row>
    <row r="42" spans="1:3" x14ac:dyDescent="0.25">
      <c r="A42" t="s">
        <v>53</v>
      </c>
    </row>
    <row r="43" spans="1:3" x14ac:dyDescent="0.25">
      <c r="A43" t="s">
        <v>54</v>
      </c>
    </row>
    <row r="44" spans="1:3" x14ac:dyDescent="0.25">
      <c r="A44" t="s">
        <v>578</v>
      </c>
    </row>
    <row r="45" spans="1:3" x14ac:dyDescent="0.25">
      <c r="A45" t="s">
        <v>578</v>
      </c>
    </row>
    <row r="46" spans="1:3" x14ac:dyDescent="0.25">
      <c r="A46" t="s">
        <v>597</v>
      </c>
      <c r="B46" t="s">
        <v>598</v>
      </c>
      <c r="C46" t="s">
        <v>599</v>
      </c>
    </row>
    <row r="47" spans="1:3" x14ac:dyDescent="0.25">
      <c r="A47" t="s">
        <v>600</v>
      </c>
    </row>
    <row r="48" spans="1:3" x14ac:dyDescent="0.25">
      <c r="A48" t="s">
        <v>395</v>
      </c>
    </row>
    <row r="49" spans="1:1" x14ac:dyDescent="0.25">
      <c r="A49" t="s">
        <v>601</v>
      </c>
    </row>
    <row r="50" spans="1:1" x14ac:dyDescent="0.25">
      <c r="A50" t="s">
        <v>602</v>
      </c>
    </row>
    <row r="51" spans="1:1" x14ac:dyDescent="0.25">
      <c r="A51" t="s">
        <v>603</v>
      </c>
    </row>
    <row r="52" spans="1:1" x14ac:dyDescent="0.25">
      <c r="A52" t="s">
        <v>578</v>
      </c>
    </row>
    <row r="53" spans="1:1" x14ac:dyDescent="0.25">
      <c r="A53" t="s">
        <v>604</v>
      </c>
    </row>
    <row r="54" spans="1:1" x14ac:dyDescent="0.25">
      <c r="A54" t="s">
        <v>605</v>
      </c>
    </row>
    <row r="55" spans="1:1" x14ac:dyDescent="0.25">
      <c r="A55" t="s">
        <v>26</v>
      </c>
    </row>
    <row r="56" spans="1:1" x14ac:dyDescent="0.25">
      <c r="A56" t="s">
        <v>72</v>
      </c>
    </row>
    <row r="57" spans="1:1" x14ac:dyDescent="0.25">
      <c r="A57" t="s">
        <v>48</v>
      </c>
    </row>
    <row r="58" spans="1:1" x14ac:dyDescent="0.25">
      <c r="A58" t="s">
        <v>606</v>
      </c>
    </row>
    <row r="59" spans="1:1" x14ac:dyDescent="0.25">
      <c r="A59" t="s">
        <v>47</v>
      </c>
    </row>
    <row r="60" spans="1:1" x14ac:dyDescent="0.25">
      <c r="A60" t="s">
        <v>607</v>
      </c>
    </row>
    <row r="61" spans="1:1" x14ac:dyDescent="0.25">
      <c r="A61" t="s">
        <v>78</v>
      </c>
    </row>
    <row r="62" spans="1:1" x14ac:dyDescent="0.25">
      <c r="A62" t="s">
        <v>578</v>
      </c>
    </row>
    <row r="63" spans="1:1" x14ac:dyDescent="0.25">
      <c r="A63" t="s">
        <v>26</v>
      </c>
    </row>
    <row r="64" spans="1:1" x14ac:dyDescent="0.25">
      <c r="A64" t="s">
        <v>608</v>
      </c>
    </row>
    <row r="65" spans="1:1" x14ac:dyDescent="0.25">
      <c r="A65" t="s">
        <v>609</v>
      </c>
    </row>
    <row r="66" spans="1:1" x14ac:dyDescent="0.25">
      <c r="A66" t="s">
        <v>604</v>
      </c>
    </row>
    <row r="67" spans="1:1" x14ac:dyDescent="0.25">
      <c r="A67" t="s">
        <v>610</v>
      </c>
    </row>
    <row r="68" spans="1:1" x14ac:dyDescent="0.25">
      <c r="A68" t="s">
        <v>578</v>
      </c>
    </row>
    <row r="69" spans="1:1" x14ac:dyDescent="0.25">
      <c r="A69" t="s">
        <v>611</v>
      </c>
    </row>
    <row r="70" spans="1:1" x14ac:dyDescent="0.25">
      <c r="A70" t="s">
        <v>578</v>
      </c>
    </row>
    <row r="71" spans="1:1" x14ac:dyDescent="0.25">
      <c r="A71" t="s">
        <v>579</v>
      </c>
    </row>
    <row r="72" spans="1:1" x14ac:dyDescent="0.25">
      <c r="A72" t="s">
        <v>72</v>
      </c>
    </row>
    <row r="73" spans="1:1" x14ac:dyDescent="0.25">
      <c r="A73" t="s">
        <v>612</v>
      </c>
    </row>
    <row r="74" spans="1:1" x14ac:dyDescent="0.25">
      <c r="A74" t="s">
        <v>613</v>
      </c>
    </row>
    <row r="75" spans="1:1" x14ac:dyDescent="0.25">
      <c r="A75" t="s">
        <v>614</v>
      </c>
    </row>
    <row r="76" spans="1:1" x14ac:dyDescent="0.25">
      <c r="A76" t="s">
        <v>615</v>
      </c>
    </row>
    <row r="77" spans="1:1" x14ac:dyDescent="0.25">
      <c r="A77" t="s">
        <v>78</v>
      </c>
    </row>
    <row r="78" spans="1:1" x14ac:dyDescent="0.25">
      <c r="A78" t="s">
        <v>616</v>
      </c>
    </row>
    <row r="79" spans="1:1" x14ac:dyDescent="0.25">
      <c r="A79" t="s">
        <v>96</v>
      </c>
    </row>
    <row r="80" spans="1:1" x14ac:dyDescent="0.25">
      <c r="A80" t="s">
        <v>617</v>
      </c>
    </row>
    <row r="81" spans="1:1" x14ac:dyDescent="0.25">
      <c r="A81" t="s">
        <v>618</v>
      </c>
    </row>
    <row r="82" spans="1:1" x14ac:dyDescent="0.25">
      <c r="A82" t="s">
        <v>578</v>
      </c>
    </row>
    <row r="83" spans="1:1" x14ac:dyDescent="0.25">
      <c r="A83" t="s">
        <v>619</v>
      </c>
    </row>
    <row r="84" spans="1:1" x14ac:dyDescent="0.25">
      <c r="A84" t="s">
        <v>78</v>
      </c>
    </row>
    <row r="85" spans="1:1" x14ac:dyDescent="0.25">
      <c r="A85" t="s">
        <v>582</v>
      </c>
    </row>
    <row r="86" spans="1:1" x14ac:dyDescent="0.25">
      <c r="A86" t="s">
        <v>620</v>
      </c>
    </row>
    <row r="87" spans="1:1" x14ac:dyDescent="0.25">
      <c r="A87" t="s">
        <v>621</v>
      </c>
    </row>
    <row r="88" spans="1:1" x14ac:dyDescent="0.25">
      <c r="A88" t="s">
        <v>78</v>
      </c>
    </row>
    <row r="89" spans="1:1" x14ac:dyDescent="0.25">
      <c r="A89" t="s">
        <v>622</v>
      </c>
    </row>
    <row r="90" spans="1:1" x14ac:dyDescent="0.25">
      <c r="A90" t="s">
        <v>72</v>
      </c>
    </row>
    <row r="91" spans="1:1" x14ac:dyDescent="0.25">
      <c r="A91" t="s">
        <v>623</v>
      </c>
    </row>
    <row r="92" spans="1:1" x14ac:dyDescent="0.25">
      <c r="A92" t="s">
        <v>624</v>
      </c>
    </row>
    <row r="93" spans="1:1" x14ac:dyDescent="0.25">
      <c r="A93" t="s">
        <v>625</v>
      </c>
    </row>
    <row r="94" spans="1:1" x14ac:dyDescent="0.25">
      <c r="A94" t="s">
        <v>579</v>
      </c>
    </row>
    <row r="95" spans="1:1" x14ac:dyDescent="0.25">
      <c r="A95" t="s">
        <v>626</v>
      </c>
    </row>
    <row r="96" spans="1:1" x14ac:dyDescent="0.25">
      <c r="A96" t="s">
        <v>627</v>
      </c>
    </row>
    <row r="97" spans="1:1" x14ac:dyDescent="0.25">
      <c r="A97" t="s">
        <v>619</v>
      </c>
    </row>
    <row r="98" spans="1:1" x14ac:dyDescent="0.25">
      <c r="A98" t="s">
        <v>600</v>
      </c>
    </row>
    <row r="99" spans="1:1" x14ac:dyDescent="0.25">
      <c r="A99" t="s">
        <v>628</v>
      </c>
    </row>
    <row r="100" spans="1:1" x14ac:dyDescent="0.25">
      <c r="A100" t="s">
        <v>578</v>
      </c>
    </row>
    <row r="101" spans="1:1" x14ac:dyDescent="0.25">
      <c r="A101" t="s">
        <v>48</v>
      </c>
    </row>
    <row r="102" spans="1:1" x14ac:dyDescent="0.25">
      <c r="A102" t="s">
        <v>629</v>
      </c>
    </row>
    <row r="103" spans="1:1" x14ac:dyDescent="0.25">
      <c r="A103" t="s">
        <v>96</v>
      </c>
    </row>
    <row r="104" spans="1:1" x14ac:dyDescent="0.25">
      <c r="A104" t="s">
        <v>578</v>
      </c>
    </row>
    <row r="105" spans="1:1" x14ac:dyDescent="0.25">
      <c r="A105" t="s">
        <v>579</v>
      </c>
    </row>
    <row r="106" spans="1:1" x14ac:dyDescent="0.25">
      <c r="A106" t="s">
        <v>596</v>
      </c>
    </row>
    <row r="107" spans="1:1" x14ac:dyDescent="0.25">
      <c r="A107" t="s">
        <v>78</v>
      </c>
    </row>
    <row r="108" spans="1:1" x14ac:dyDescent="0.25">
      <c r="A108" t="s">
        <v>579</v>
      </c>
    </row>
    <row r="109" spans="1:1" x14ac:dyDescent="0.25">
      <c r="A109" t="s">
        <v>53</v>
      </c>
    </row>
    <row r="110" spans="1:1" x14ac:dyDescent="0.25">
      <c r="A110" t="s">
        <v>630</v>
      </c>
    </row>
    <row r="111" spans="1:1" x14ac:dyDescent="0.25">
      <c r="A111" t="s">
        <v>78</v>
      </c>
    </row>
    <row r="112" spans="1:1" x14ac:dyDescent="0.25">
      <c r="A112" t="s">
        <v>582</v>
      </c>
    </row>
    <row r="113" spans="1:1" x14ac:dyDescent="0.25">
      <c r="A113" t="s">
        <v>631</v>
      </c>
    </row>
    <row r="114" spans="1:1" x14ac:dyDescent="0.25">
      <c r="A114" t="s">
        <v>632</v>
      </c>
    </row>
    <row r="115" spans="1:1" x14ac:dyDescent="0.25">
      <c r="A115" t="s">
        <v>633</v>
      </c>
    </row>
    <row r="116" spans="1:1" x14ac:dyDescent="0.25">
      <c r="A116" t="s">
        <v>634</v>
      </c>
    </row>
    <row r="117" spans="1:1" x14ac:dyDescent="0.25">
      <c r="A117" t="s">
        <v>635</v>
      </c>
    </row>
    <row r="118" spans="1:1" x14ac:dyDescent="0.25">
      <c r="A118" t="s">
        <v>578</v>
      </c>
    </row>
    <row r="119" spans="1:1" x14ac:dyDescent="0.25">
      <c r="A119" t="s">
        <v>636</v>
      </c>
    </row>
    <row r="120" spans="1:1" x14ac:dyDescent="0.25">
      <c r="A120" t="s">
        <v>578</v>
      </c>
    </row>
    <row r="121" spans="1:1" x14ac:dyDescent="0.25">
      <c r="A121" t="s">
        <v>78</v>
      </c>
    </row>
    <row r="122" spans="1:1" x14ac:dyDescent="0.25">
      <c r="A122" t="s">
        <v>48</v>
      </c>
    </row>
    <row r="123" spans="1:1" x14ac:dyDescent="0.25">
      <c r="A123" t="s">
        <v>578</v>
      </c>
    </row>
    <row r="124" spans="1:1" x14ac:dyDescent="0.25">
      <c r="A124" t="s">
        <v>72</v>
      </c>
    </row>
    <row r="125" spans="1:1" x14ac:dyDescent="0.25">
      <c r="A125" t="s">
        <v>53</v>
      </c>
    </row>
    <row r="126" spans="1:1" x14ac:dyDescent="0.25">
      <c r="A126" t="s">
        <v>637</v>
      </c>
    </row>
    <row r="127" spans="1:1" x14ac:dyDescent="0.25">
      <c r="A127" t="s">
        <v>631</v>
      </c>
    </row>
    <row r="128" spans="1:1" x14ac:dyDescent="0.25">
      <c r="A128" t="s">
        <v>638</v>
      </c>
    </row>
    <row r="129" spans="1:1" x14ac:dyDescent="0.25">
      <c r="A129" t="s">
        <v>579</v>
      </c>
    </row>
    <row r="130" spans="1:1" x14ac:dyDescent="0.25">
      <c r="A130" t="s">
        <v>582</v>
      </c>
    </row>
    <row r="131" spans="1:1" x14ac:dyDescent="0.25">
      <c r="A131" t="s">
        <v>639</v>
      </c>
    </row>
    <row r="132" spans="1:1" x14ac:dyDescent="0.25">
      <c r="A132" t="s">
        <v>607</v>
      </c>
    </row>
    <row r="133" spans="1:1" x14ac:dyDescent="0.25">
      <c r="A133" t="s">
        <v>579</v>
      </c>
    </row>
    <row r="134" spans="1:1" x14ac:dyDescent="0.25">
      <c r="A134" t="s">
        <v>640</v>
      </c>
    </row>
    <row r="135" spans="1:1" x14ac:dyDescent="0.25">
      <c r="A135" t="s">
        <v>579</v>
      </c>
    </row>
    <row r="136" spans="1:1" x14ac:dyDescent="0.25">
      <c r="A136" t="s">
        <v>641</v>
      </c>
    </row>
    <row r="137" spans="1:1" x14ac:dyDescent="0.25">
      <c r="A137" t="s">
        <v>642</v>
      </c>
    </row>
    <row r="138" spans="1:1" x14ac:dyDescent="0.25">
      <c r="A138" t="s">
        <v>643</v>
      </c>
    </row>
    <row r="139" spans="1:1" x14ac:dyDescent="0.25">
      <c r="A139" t="s">
        <v>644</v>
      </c>
    </row>
    <row r="140" spans="1:1" x14ac:dyDescent="0.25">
      <c r="A140" t="s">
        <v>118</v>
      </c>
    </row>
    <row r="141" spans="1:1" x14ac:dyDescent="0.25">
      <c r="A141" t="s">
        <v>53</v>
      </c>
    </row>
    <row r="142" spans="1:1" x14ac:dyDescent="0.25">
      <c r="A142" t="s">
        <v>645</v>
      </c>
    </row>
    <row r="143" spans="1:1" x14ac:dyDescent="0.25">
      <c r="A143" t="s">
        <v>611</v>
      </c>
    </row>
    <row r="144" spans="1:1" x14ac:dyDescent="0.25">
      <c r="A144" t="s">
        <v>96</v>
      </c>
    </row>
    <row r="145" spans="1:1" x14ac:dyDescent="0.25">
      <c r="A145" t="s">
        <v>578</v>
      </c>
    </row>
    <row r="146" spans="1:1" x14ac:dyDescent="0.25">
      <c r="A146" t="s">
        <v>578</v>
      </c>
    </row>
    <row r="147" spans="1:1" x14ac:dyDescent="0.25">
      <c r="A147" t="s">
        <v>607</v>
      </c>
    </row>
    <row r="148" spans="1:1" x14ac:dyDescent="0.25">
      <c r="A148" t="s">
        <v>578</v>
      </c>
    </row>
    <row r="149" spans="1:1" x14ac:dyDescent="0.25">
      <c r="A149" t="s">
        <v>48</v>
      </c>
    </row>
    <row r="150" spans="1:1" x14ac:dyDescent="0.25">
      <c r="A150" t="s">
        <v>646</v>
      </c>
    </row>
    <row r="151" spans="1:1" x14ac:dyDescent="0.25">
      <c r="A151" t="s">
        <v>647</v>
      </c>
    </row>
    <row r="152" spans="1:1" x14ac:dyDescent="0.25">
      <c r="A152" t="s">
        <v>578</v>
      </c>
    </row>
    <row r="153" spans="1:1" x14ac:dyDescent="0.25">
      <c r="A153" t="s">
        <v>578</v>
      </c>
    </row>
    <row r="154" spans="1:1" x14ac:dyDescent="0.25">
      <c r="A154" t="s">
        <v>648</v>
      </c>
    </row>
    <row r="155" spans="1:1" x14ac:dyDescent="0.25">
      <c r="A155" t="s">
        <v>111</v>
      </c>
    </row>
    <row r="156" spans="1:1" x14ac:dyDescent="0.25">
      <c r="A156" t="s">
        <v>649</v>
      </c>
    </row>
    <row r="157" spans="1:1" x14ac:dyDescent="0.25">
      <c r="A157" t="s">
        <v>650</v>
      </c>
    </row>
    <row r="158" spans="1:1" x14ac:dyDescent="0.25">
      <c r="A158" t="s">
        <v>26</v>
      </c>
    </row>
    <row r="159" spans="1:1" x14ac:dyDescent="0.25">
      <c r="A159" t="s">
        <v>578</v>
      </c>
    </row>
    <row r="160" spans="1:1" x14ac:dyDescent="0.25">
      <c r="A160" t="s">
        <v>651</v>
      </c>
    </row>
    <row r="161" spans="1:1" x14ac:dyDescent="0.25">
      <c r="A161" t="s">
        <v>68</v>
      </c>
    </row>
    <row r="162" spans="1:1" x14ac:dyDescent="0.25">
      <c r="A162" t="s">
        <v>647</v>
      </c>
    </row>
    <row r="163" spans="1:1" x14ac:dyDescent="0.25">
      <c r="A163" t="s">
        <v>652</v>
      </c>
    </row>
    <row r="164" spans="1:1" x14ac:dyDescent="0.25">
      <c r="A164" t="s">
        <v>653</v>
      </c>
    </row>
    <row r="165" spans="1:1" x14ac:dyDescent="0.25">
      <c r="A165" t="s">
        <v>578</v>
      </c>
    </row>
    <row r="166" spans="1:1" x14ac:dyDescent="0.25">
      <c r="A166" t="s">
        <v>654</v>
      </c>
    </row>
    <row r="167" spans="1:1" x14ac:dyDescent="0.25">
      <c r="A167" t="s">
        <v>579</v>
      </c>
    </row>
    <row r="168" spans="1:1" x14ac:dyDescent="0.25">
      <c r="A168" t="s">
        <v>614</v>
      </c>
    </row>
    <row r="169" spans="1:1" x14ac:dyDescent="0.25">
      <c r="A169" t="s">
        <v>655</v>
      </c>
    </row>
    <row r="170" spans="1:1" x14ac:dyDescent="0.25">
      <c r="A170" t="s">
        <v>646</v>
      </c>
    </row>
    <row r="171" spans="1:1" x14ac:dyDescent="0.25">
      <c r="A171" t="s">
        <v>656</v>
      </c>
    </row>
    <row r="172" spans="1:1" x14ac:dyDescent="0.25">
      <c r="A172" t="s">
        <v>48</v>
      </c>
    </row>
    <row r="173" spans="1:1" x14ac:dyDescent="0.25">
      <c r="A173" t="s">
        <v>578</v>
      </c>
    </row>
    <row r="174" spans="1:1" x14ac:dyDescent="0.25">
      <c r="A174" t="s">
        <v>657</v>
      </c>
    </row>
    <row r="175" spans="1:1" x14ac:dyDescent="0.25">
      <c r="A175" t="s">
        <v>578</v>
      </c>
    </row>
    <row r="176" spans="1:1" x14ac:dyDescent="0.25">
      <c r="A176" t="s">
        <v>78</v>
      </c>
    </row>
    <row r="177" spans="1:1" x14ac:dyDescent="0.25">
      <c r="A177" t="s">
        <v>658</v>
      </c>
    </row>
    <row r="178" spans="1:1" x14ac:dyDescent="0.25">
      <c r="A178" t="s">
        <v>659</v>
      </c>
    </row>
    <row r="179" spans="1:1" x14ac:dyDescent="0.25">
      <c r="A179" t="s">
        <v>660</v>
      </c>
    </row>
    <row r="180" spans="1:1" x14ac:dyDescent="0.25">
      <c r="A180" t="s">
        <v>661</v>
      </c>
    </row>
    <row r="181" spans="1:1" x14ac:dyDescent="0.25">
      <c r="A181" t="s">
        <v>26</v>
      </c>
    </row>
    <row r="182" spans="1:1" x14ac:dyDescent="0.25">
      <c r="A182" t="s">
        <v>662</v>
      </c>
    </row>
    <row r="183" spans="1:1" x14ac:dyDescent="0.25">
      <c r="A183" t="s">
        <v>579</v>
      </c>
    </row>
    <row r="184" spans="1:1" x14ac:dyDescent="0.25">
      <c r="A184" t="s">
        <v>111</v>
      </c>
    </row>
    <row r="185" spans="1:1" x14ac:dyDescent="0.25">
      <c r="A185" t="s">
        <v>663</v>
      </c>
    </row>
    <row r="186" spans="1:1" x14ac:dyDescent="0.25">
      <c r="A186" t="s">
        <v>578</v>
      </c>
    </row>
    <row r="187" spans="1:1" x14ac:dyDescent="0.25">
      <c r="A187" t="s">
        <v>664</v>
      </c>
    </row>
    <row r="188" spans="1:1" x14ac:dyDescent="0.25">
      <c r="A188" t="s">
        <v>78</v>
      </c>
    </row>
    <row r="189" spans="1:1" x14ac:dyDescent="0.25">
      <c r="A189" t="s">
        <v>72</v>
      </c>
    </row>
    <row r="190" spans="1:1" x14ac:dyDescent="0.25">
      <c r="A190" t="s">
        <v>78</v>
      </c>
    </row>
    <row r="191" spans="1:1" x14ac:dyDescent="0.25">
      <c r="A191" t="s">
        <v>295</v>
      </c>
    </row>
    <row r="192" spans="1:1" x14ac:dyDescent="0.25">
      <c r="A192" t="s">
        <v>664</v>
      </c>
    </row>
    <row r="193" spans="1:1" x14ac:dyDescent="0.25">
      <c r="A193" t="s">
        <v>619</v>
      </c>
    </row>
    <row r="194" spans="1:1" x14ac:dyDescent="0.25">
      <c r="A194" t="s">
        <v>111</v>
      </c>
    </row>
    <row r="195" spans="1:1" x14ac:dyDescent="0.25">
      <c r="A195" t="s">
        <v>78</v>
      </c>
    </row>
    <row r="196" spans="1:1" x14ac:dyDescent="0.25">
      <c r="A196" t="s">
        <v>665</v>
      </c>
    </row>
    <row r="197" spans="1:1" x14ac:dyDescent="0.25">
      <c r="A197" t="s">
        <v>46</v>
      </c>
    </row>
    <row r="198" spans="1:1" x14ac:dyDescent="0.25">
      <c r="A198" t="s">
        <v>666</v>
      </c>
    </row>
    <row r="199" spans="1:1" x14ac:dyDescent="0.25">
      <c r="A199" t="s">
        <v>78</v>
      </c>
    </row>
    <row r="200" spans="1:1" x14ac:dyDescent="0.25">
      <c r="A200" t="s">
        <v>578</v>
      </c>
    </row>
    <row r="201" spans="1:1" x14ac:dyDescent="0.25">
      <c r="A201" t="s">
        <v>111</v>
      </c>
    </row>
    <row r="202" spans="1:1" x14ac:dyDescent="0.25">
      <c r="A202" t="s">
        <v>667</v>
      </c>
    </row>
    <row r="203" spans="1:1" x14ac:dyDescent="0.25">
      <c r="A203" t="s">
        <v>668</v>
      </c>
    </row>
    <row r="204" spans="1:1" x14ac:dyDescent="0.25">
      <c r="A204" t="s">
        <v>669</v>
      </c>
    </row>
    <row r="205" spans="1:1" x14ac:dyDescent="0.25">
      <c r="A205" t="s">
        <v>670</v>
      </c>
    </row>
    <row r="206" spans="1:1" x14ac:dyDescent="0.25">
      <c r="A206" t="s">
        <v>671</v>
      </c>
    </row>
    <row r="207" spans="1:1" x14ac:dyDescent="0.25">
      <c r="A207" t="s">
        <v>26</v>
      </c>
    </row>
    <row r="208" spans="1:1" x14ac:dyDescent="0.25">
      <c r="A208" t="s">
        <v>672</v>
      </c>
    </row>
    <row r="209" spans="1:1" x14ac:dyDescent="0.25">
      <c r="A209" t="s">
        <v>78</v>
      </c>
    </row>
    <row r="210" spans="1:1" x14ac:dyDescent="0.25">
      <c r="A210" t="s">
        <v>607</v>
      </c>
    </row>
    <row r="211" spans="1:1" x14ac:dyDescent="0.25">
      <c r="A211" t="s">
        <v>72</v>
      </c>
    </row>
    <row r="212" spans="1:1" x14ac:dyDescent="0.25">
      <c r="A212" t="s">
        <v>578</v>
      </c>
    </row>
    <row r="213" spans="1:1" x14ac:dyDescent="0.25">
      <c r="A213" t="s">
        <v>673</v>
      </c>
    </row>
    <row r="214" spans="1:1" x14ac:dyDescent="0.25">
      <c r="A214" t="s">
        <v>234</v>
      </c>
    </row>
    <row r="215" spans="1:1" x14ac:dyDescent="0.25">
      <c r="A215" t="s">
        <v>579</v>
      </c>
    </row>
    <row r="216" spans="1:1" x14ac:dyDescent="0.25">
      <c r="A216" t="s">
        <v>674</v>
      </c>
    </row>
    <row r="217" spans="1:1" x14ac:dyDescent="0.25">
      <c r="A217" t="s">
        <v>578</v>
      </c>
    </row>
    <row r="218" spans="1:1" x14ac:dyDescent="0.25">
      <c r="A218" t="s">
        <v>675</v>
      </c>
    </row>
    <row r="219" spans="1:1" x14ac:dyDescent="0.25">
      <c r="A219" t="s">
        <v>676</v>
      </c>
    </row>
    <row r="220" spans="1:1" x14ac:dyDescent="0.25">
      <c r="A220" t="s">
        <v>157</v>
      </c>
    </row>
    <row r="221" spans="1:1" x14ac:dyDescent="0.25">
      <c r="A221" t="s">
        <v>26</v>
      </c>
    </row>
    <row r="222" spans="1:1" x14ac:dyDescent="0.25">
      <c r="A222" t="s">
        <v>607</v>
      </c>
    </row>
    <row r="223" spans="1:1" x14ac:dyDescent="0.25">
      <c r="A223" t="s">
        <v>677</v>
      </c>
    </row>
    <row r="224" spans="1:1" x14ac:dyDescent="0.25">
      <c r="A224" t="s">
        <v>678</v>
      </c>
    </row>
    <row r="225" spans="1:1" x14ac:dyDescent="0.25">
      <c r="A225" t="s">
        <v>679</v>
      </c>
    </row>
    <row r="226" spans="1:1" x14ac:dyDescent="0.25">
      <c r="A226" t="s">
        <v>680</v>
      </c>
    </row>
    <row r="227" spans="1:1" x14ac:dyDescent="0.25">
      <c r="A227" t="s">
        <v>582</v>
      </c>
    </row>
    <row r="228" spans="1:1" x14ac:dyDescent="0.25">
      <c r="A228" t="s">
        <v>582</v>
      </c>
    </row>
    <row r="229" spans="1:1" x14ac:dyDescent="0.25">
      <c r="A229" t="s">
        <v>681</v>
      </c>
    </row>
    <row r="230" spans="1:1" x14ac:dyDescent="0.25">
      <c r="A230" t="s">
        <v>682</v>
      </c>
    </row>
    <row r="231" spans="1:1" x14ac:dyDescent="0.25">
      <c r="A231" t="s">
        <v>683</v>
      </c>
    </row>
    <row r="232" spans="1:1" x14ac:dyDescent="0.25">
      <c r="A232" t="s">
        <v>684</v>
      </c>
    </row>
    <row r="233" spans="1:1" x14ac:dyDescent="0.25">
      <c r="A233" t="s">
        <v>685</v>
      </c>
    </row>
    <row r="234" spans="1:1" x14ac:dyDescent="0.25">
      <c r="A234" t="s">
        <v>619</v>
      </c>
    </row>
    <row r="235" spans="1:1" x14ac:dyDescent="0.25">
      <c r="A235" t="s">
        <v>578</v>
      </c>
    </row>
    <row r="236" spans="1:1" x14ac:dyDescent="0.25">
      <c r="A236" t="s">
        <v>686</v>
      </c>
    </row>
    <row r="237" spans="1:1" x14ac:dyDescent="0.25">
      <c r="A237" t="s">
        <v>687</v>
      </c>
    </row>
    <row r="238" spans="1:1" x14ac:dyDescent="0.25">
      <c r="A238" t="s">
        <v>46</v>
      </c>
    </row>
    <row r="239" spans="1:1" x14ac:dyDescent="0.25">
      <c r="A239" t="s">
        <v>688</v>
      </c>
    </row>
    <row r="240" spans="1:1" x14ac:dyDescent="0.25">
      <c r="A240" t="s">
        <v>607</v>
      </c>
    </row>
    <row r="241" spans="1:1" x14ac:dyDescent="0.25">
      <c r="A241" t="s">
        <v>689</v>
      </c>
    </row>
    <row r="242" spans="1:1" x14ac:dyDescent="0.25">
      <c r="A242" t="s">
        <v>26</v>
      </c>
    </row>
    <row r="243" spans="1:1" x14ac:dyDescent="0.25">
      <c r="A243" t="s">
        <v>579</v>
      </c>
    </row>
    <row r="244" spans="1:1" x14ac:dyDescent="0.25">
      <c r="A244" t="s">
        <v>72</v>
      </c>
    </row>
    <row r="245" spans="1:1" x14ac:dyDescent="0.25">
      <c r="A245" t="s">
        <v>690</v>
      </c>
    </row>
    <row r="246" spans="1:1" x14ac:dyDescent="0.25">
      <c r="A246" t="s">
        <v>78</v>
      </c>
    </row>
    <row r="247" spans="1:1" x14ac:dyDescent="0.25">
      <c r="A247" t="s">
        <v>72</v>
      </c>
    </row>
    <row r="248" spans="1:1" x14ac:dyDescent="0.25">
      <c r="A248" t="s">
        <v>691</v>
      </c>
    </row>
    <row r="249" spans="1:1" x14ac:dyDescent="0.25">
      <c r="A249" t="s">
        <v>72</v>
      </c>
    </row>
    <row r="250" spans="1:1" x14ac:dyDescent="0.25">
      <c r="A250" t="s">
        <v>692</v>
      </c>
    </row>
    <row r="251" spans="1:1" x14ac:dyDescent="0.25">
      <c r="A251" t="s">
        <v>693</v>
      </c>
    </row>
    <row r="252" spans="1:1" x14ac:dyDescent="0.25">
      <c r="A252" t="s">
        <v>694</v>
      </c>
    </row>
    <row r="253" spans="1:1" x14ac:dyDescent="0.25">
      <c r="A253" t="s">
        <v>578</v>
      </c>
    </row>
    <row r="254" spans="1:1" x14ac:dyDescent="0.25">
      <c r="A254" t="s">
        <v>47</v>
      </c>
    </row>
    <row r="255" spans="1:1" x14ac:dyDescent="0.25">
      <c r="A255" t="s">
        <v>695</v>
      </c>
    </row>
    <row r="256" spans="1:1" x14ac:dyDescent="0.25">
      <c r="A256" t="s">
        <v>78</v>
      </c>
    </row>
    <row r="257" spans="1:2" x14ac:dyDescent="0.25">
      <c r="A257" t="s">
        <v>696</v>
      </c>
    </row>
    <row r="258" spans="1:2" x14ac:dyDescent="0.25">
      <c r="A258" t="s">
        <v>697</v>
      </c>
    </row>
    <row r="259" spans="1:2" x14ac:dyDescent="0.25">
      <c r="A259" t="s">
        <v>47</v>
      </c>
    </row>
    <row r="260" spans="1:2" x14ac:dyDescent="0.25">
      <c r="A260" t="s">
        <v>53</v>
      </c>
    </row>
    <row r="261" spans="1:2" x14ac:dyDescent="0.25">
      <c r="A261" t="s">
        <v>698</v>
      </c>
    </row>
    <row r="262" spans="1:2" x14ac:dyDescent="0.25">
      <c r="A262" t="s">
        <v>582</v>
      </c>
    </row>
    <row r="263" spans="1:2" x14ac:dyDescent="0.25">
      <c r="A263" t="s">
        <v>699</v>
      </c>
    </row>
    <row r="264" spans="1:2" x14ac:dyDescent="0.25">
      <c r="A264" t="s">
        <v>700</v>
      </c>
      <c r="B264" t="s">
        <v>607</v>
      </c>
    </row>
    <row r="265" spans="1:2" x14ac:dyDescent="0.25">
      <c r="A265" t="s">
        <v>582</v>
      </c>
    </row>
    <row r="266" spans="1:2" x14ac:dyDescent="0.25">
      <c r="A266" t="s">
        <v>607</v>
      </c>
    </row>
    <row r="267" spans="1:2" x14ac:dyDescent="0.25">
      <c r="A267" t="s">
        <v>26</v>
      </c>
    </row>
    <row r="268" spans="1:2" x14ac:dyDescent="0.25">
      <c r="A268" t="s">
        <v>701</v>
      </c>
    </row>
    <row r="269" spans="1:2" x14ac:dyDescent="0.25">
      <c r="A269" t="s">
        <v>702</v>
      </c>
    </row>
    <row r="270" spans="1:2" x14ac:dyDescent="0.25">
      <c r="A270" t="s">
        <v>680</v>
      </c>
    </row>
    <row r="271" spans="1:2" x14ac:dyDescent="0.25">
      <c r="A271" t="s">
        <v>578</v>
      </c>
    </row>
    <row r="272" spans="1:2" x14ac:dyDescent="0.25">
      <c r="A272" t="s">
        <v>703</v>
      </c>
    </row>
    <row r="273" spans="1:2" x14ac:dyDescent="0.25">
      <c r="A273" t="s">
        <v>704</v>
      </c>
    </row>
    <row r="274" spans="1:2" x14ac:dyDescent="0.25">
      <c r="A274" t="s">
        <v>47</v>
      </c>
    </row>
    <row r="275" spans="1:2" x14ac:dyDescent="0.25">
      <c r="A275" t="s">
        <v>578</v>
      </c>
    </row>
    <row r="276" spans="1:2" x14ac:dyDescent="0.25">
      <c r="A276" t="s">
        <v>578</v>
      </c>
    </row>
    <row r="277" spans="1:2" x14ac:dyDescent="0.25">
      <c r="A277" t="s">
        <v>78</v>
      </c>
    </row>
    <row r="278" spans="1:2" x14ac:dyDescent="0.25">
      <c r="A278" t="s">
        <v>26</v>
      </c>
    </row>
    <row r="279" spans="1:2" x14ac:dyDescent="0.25">
      <c r="A279" t="s">
        <v>705</v>
      </c>
    </row>
    <row r="280" spans="1:2" x14ac:dyDescent="0.25">
      <c r="A280" t="s">
        <v>706</v>
      </c>
    </row>
    <row r="281" spans="1:2" x14ac:dyDescent="0.25">
      <c r="A281" t="s">
        <v>578</v>
      </c>
    </row>
    <row r="282" spans="1:2" x14ac:dyDescent="0.25">
      <c r="A282" t="s">
        <v>48</v>
      </c>
      <c r="B282" t="s">
        <v>578</v>
      </c>
    </row>
    <row r="283" spans="1:2" x14ac:dyDescent="0.25">
      <c r="A283" t="s">
        <v>619</v>
      </c>
    </row>
    <row r="284" spans="1:2" x14ac:dyDescent="0.25">
      <c r="A284" t="s">
        <v>78</v>
      </c>
    </row>
    <row r="285" spans="1:2" x14ac:dyDescent="0.25">
      <c r="A285" t="s">
        <v>707</v>
      </c>
    </row>
    <row r="286" spans="1:2" x14ac:dyDescent="0.25">
      <c r="A286" t="s">
        <v>96</v>
      </c>
    </row>
    <row r="287" spans="1:2" x14ac:dyDescent="0.25">
      <c r="A287" t="s">
        <v>111</v>
      </c>
    </row>
    <row r="288" spans="1:2" x14ac:dyDescent="0.25">
      <c r="A288" t="s">
        <v>708</v>
      </c>
    </row>
    <row r="289" spans="1:1" x14ac:dyDescent="0.25">
      <c r="A289" t="s">
        <v>96</v>
      </c>
    </row>
    <row r="290" spans="1:1" x14ac:dyDescent="0.25">
      <c r="A290" t="s">
        <v>709</v>
      </c>
    </row>
    <row r="291" spans="1:1" x14ac:dyDescent="0.25">
      <c r="A291" t="s">
        <v>619</v>
      </c>
    </row>
    <row r="292" spans="1:1" x14ac:dyDescent="0.25">
      <c r="A292" t="s">
        <v>184</v>
      </c>
    </row>
    <row r="293" spans="1:1" x14ac:dyDescent="0.25">
      <c r="A293" t="s">
        <v>198</v>
      </c>
    </row>
    <row r="294" spans="1:1" x14ac:dyDescent="0.25">
      <c r="A294" t="s">
        <v>198</v>
      </c>
    </row>
    <row r="295" spans="1:1" x14ac:dyDescent="0.25">
      <c r="A295" t="s">
        <v>705</v>
      </c>
    </row>
    <row r="296" spans="1:1" x14ac:dyDescent="0.25">
      <c r="A296" t="s">
        <v>72</v>
      </c>
    </row>
    <row r="297" spans="1:1" x14ac:dyDescent="0.25">
      <c r="A297" t="s">
        <v>111</v>
      </c>
    </row>
    <row r="298" spans="1:1" x14ac:dyDescent="0.25">
      <c r="A298" t="s">
        <v>71</v>
      </c>
    </row>
    <row r="299" spans="1:1" x14ac:dyDescent="0.25">
      <c r="A299" t="s">
        <v>48</v>
      </c>
    </row>
    <row r="300" spans="1:1" x14ac:dyDescent="0.25">
      <c r="A300" t="s">
        <v>710</v>
      </c>
    </row>
    <row r="301" spans="1:1" x14ac:dyDescent="0.25">
      <c r="A301" t="s">
        <v>711</v>
      </c>
    </row>
    <row r="302" spans="1:1" x14ac:dyDescent="0.25">
      <c r="A302" t="s">
        <v>578</v>
      </c>
    </row>
    <row r="303" spans="1:1" x14ac:dyDescent="0.25">
      <c r="A303" t="s">
        <v>26</v>
      </c>
    </row>
    <row r="304" spans="1:1" x14ac:dyDescent="0.25">
      <c r="A304" t="s">
        <v>582</v>
      </c>
    </row>
    <row r="305" spans="1:1" x14ac:dyDescent="0.25">
      <c r="A305" t="s">
        <v>712</v>
      </c>
    </row>
    <row r="306" spans="1:1" x14ac:dyDescent="0.25">
      <c r="A306" t="s">
        <v>713</v>
      </c>
    </row>
    <row r="307" spans="1:1" x14ac:dyDescent="0.25">
      <c r="A307" t="s">
        <v>47</v>
      </c>
    </row>
    <row r="308" spans="1:1" x14ac:dyDescent="0.25">
      <c r="A308" t="s">
        <v>714</v>
      </c>
    </row>
    <row r="309" spans="1:1" x14ac:dyDescent="0.25">
      <c r="A309" t="s">
        <v>72</v>
      </c>
    </row>
    <row r="310" spans="1:1" x14ac:dyDescent="0.25">
      <c r="A310" t="s">
        <v>715</v>
      </c>
    </row>
    <row r="311" spans="1:1" x14ac:dyDescent="0.25">
      <c r="A311" t="s">
        <v>578</v>
      </c>
    </row>
    <row r="312" spans="1:1" x14ac:dyDescent="0.25">
      <c r="A312" t="s">
        <v>680</v>
      </c>
    </row>
    <row r="313" spans="1:1" x14ac:dyDescent="0.25">
      <c r="A313" t="s">
        <v>716</v>
      </c>
    </row>
    <row r="314" spans="1:1" x14ac:dyDescent="0.25">
      <c r="A314" t="s">
        <v>717</v>
      </c>
    </row>
    <row r="315" spans="1:1" x14ac:dyDescent="0.25">
      <c r="A315" t="s">
        <v>718</v>
      </c>
    </row>
    <row r="316" spans="1:1" x14ac:dyDescent="0.25">
      <c r="A316" t="s">
        <v>582</v>
      </c>
    </row>
    <row r="317" spans="1:1" x14ac:dyDescent="0.25">
      <c r="A317" t="s">
        <v>578</v>
      </c>
    </row>
    <row r="318" spans="1:1" x14ac:dyDescent="0.25">
      <c r="A318" t="s">
        <v>719</v>
      </c>
    </row>
    <row r="319" spans="1:1" x14ac:dyDescent="0.25">
      <c r="A319" t="s">
        <v>720</v>
      </c>
    </row>
    <row r="320" spans="1:1" x14ac:dyDescent="0.25">
      <c r="A320" t="s">
        <v>234</v>
      </c>
    </row>
    <row r="321" spans="1:2" x14ac:dyDescent="0.25">
      <c r="A321" t="s">
        <v>26</v>
      </c>
    </row>
    <row r="322" spans="1:2" x14ac:dyDescent="0.25">
      <c r="A322" t="s">
        <v>646</v>
      </c>
      <c r="B322" t="s">
        <v>721</v>
      </c>
    </row>
    <row r="323" spans="1:2" x14ac:dyDescent="0.25">
      <c r="A323" t="s">
        <v>578</v>
      </c>
    </row>
    <row r="324" spans="1:2" x14ac:dyDescent="0.25">
      <c r="A324" t="s">
        <v>722</v>
      </c>
    </row>
    <row r="325" spans="1:2" x14ac:dyDescent="0.25">
      <c r="A325" t="s">
        <v>578</v>
      </c>
    </row>
    <row r="326" spans="1:2" x14ac:dyDescent="0.25">
      <c r="A326" t="s">
        <v>46</v>
      </c>
    </row>
    <row r="327" spans="1:2" x14ac:dyDescent="0.25">
      <c r="A327" t="s">
        <v>641</v>
      </c>
    </row>
    <row r="328" spans="1:2" x14ac:dyDescent="0.25">
      <c r="A328" t="s">
        <v>723</v>
      </c>
    </row>
    <row r="329" spans="1:2" x14ac:dyDescent="0.25">
      <c r="A329" t="s">
        <v>582</v>
      </c>
    </row>
    <row r="330" spans="1:2" x14ac:dyDescent="0.25">
      <c r="A330" t="s">
        <v>724</v>
      </c>
    </row>
    <row r="331" spans="1:2" x14ac:dyDescent="0.25">
      <c r="A331" t="s">
        <v>582</v>
      </c>
    </row>
    <row r="332" spans="1:2" x14ac:dyDescent="0.25">
      <c r="A332" t="s">
        <v>578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28"/>
  <sheetViews>
    <sheetView workbookViewId="0"/>
  </sheetViews>
  <sheetFormatPr defaultRowHeight="15" x14ac:dyDescent="0.25"/>
  <cols>
    <col min="1" max="3" width="30.7109375" customWidth="1"/>
  </cols>
  <sheetData>
    <row r="1" spans="1:2" s="3" customFormat="1" x14ac:dyDescent="0.25">
      <c r="A1" s="9" t="str">
        <f>HYPERLINK("#Tabulka!A72","Jaký máte pocit z této osobnosti?")</f>
        <v>Jaký máte pocit z této osobnosti?</v>
      </c>
    </row>
    <row r="2" spans="1:2" x14ac:dyDescent="0.25">
      <c r="A2" t="s">
        <v>201</v>
      </c>
      <c r="B2" t="s">
        <v>725</v>
      </c>
    </row>
    <row r="3" spans="1:2" x14ac:dyDescent="0.25">
      <c r="A3" t="s">
        <v>203</v>
      </c>
      <c r="B3" t="s">
        <v>278</v>
      </c>
    </row>
    <row r="4" spans="1:2" x14ac:dyDescent="0.25">
      <c r="A4" t="s">
        <v>203</v>
      </c>
      <c r="B4" t="s">
        <v>74</v>
      </c>
    </row>
    <row r="5" spans="1:2" x14ac:dyDescent="0.25">
      <c r="A5" t="s">
        <v>203</v>
      </c>
      <c r="B5" t="s">
        <v>726</v>
      </c>
    </row>
    <row r="6" spans="1:2" x14ac:dyDescent="0.25">
      <c r="A6" t="s">
        <v>203</v>
      </c>
      <c r="B6" t="s">
        <v>727</v>
      </c>
    </row>
    <row r="7" spans="1:2" x14ac:dyDescent="0.25">
      <c r="A7" t="s">
        <v>203</v>
      </c>
      <c r="B7" t="s">
        <v>728</v>
      </c>
    </row>
    <row r="8" spans="1:2" x14ac:dyDescent="0.25">
      <c r="A8" t="s">
        <v>201</v>
      </c>
      <c r="B8" t="s">
        <v>646</v>
      </c>
    </row>
    <row r="9" spans="1:2" x14ac:dyDescent="0.25">
      <c r="A9" t="s">
        <v>201</v>
      </c>
      <c r="B9" t="s">
        <v>619</v>
      </c>
    </row>
    <row r="10" spans="1:2" x14ac:dyDescent="0.25">
      <c r="A10" t="s">
        <v>208</v>
      </c>
      <c r="B10" t="s">
        <v>729</v>
      </c>
    </row>
    <row r="11" spans="1:2" x14ac:dyDescent="0.25">
      <c r="A11" t="s">
        <v>203</v>
      </c>
      <c r="B11" t="s">
        <v>582</v>
      </c>
    </row>
    <row r="12" spans="1:2" x14ac:dyDescent="0.25">
      <c r="A12" t="s">
        <v>203</v>
      </c>
      <c r="B12" t="s">
        <v>730</v>
      </c>
    </row>
    <row r="13" spans="1:2" x14ac:dyDescent="0.25">
      <c r="A13" t="s">
        <v>221</v>
      </c>
      <c r="B13" t="s">
        <v>375</v>
      </c>
    </row>
    <row r="14" spans="1:2" x14ac:dyDescent="0.25">
      <c r="A14" t="s">
        <v>203</v>
      </c>
      <c r="B14" t="s">
        <v>731</v>
      </c>
    </row>
    <row r="15" spans="1:2" x14ac:dyDescent="0.25">
      <c r="A15" t="s">
        <v>203</v>
      </c>
      <c r="B15" t="s">
        <v>53</v>
      </c>
    </row>
    <row r="16" spans="1:2" x14ac:dyDescent="0.25">
      <c r="A16" t="s">
        <v>203</v>
      </c>
      <c r="B16" t="s">
        <v>732</v>
      </c>
    </row>
    <row r="17" spans="1:2" x14ac:dyDescent="0.25">
      <c r="A17" t="s">
        <v>203</v>
      </c>
      <c r="B17" t="s">
        <v>213</v>
      </c>
    </row>
    <row r="18" spans="1:2" x14ac:dyDescent="0.25">
      <c r="A18" t="s">
        <v>201</v>
      </c>
      <c r="B18" t="s">
        <v>212</v>
      </c>
    </row>
    <row r="19" spans="1:2" x14ac:dyDescent="0.25">
      <c r="A19" t="s">
        <v>203</v>
      </c>
      <c r="B19" t="s">
        <v>733</v>
      </c>
    </row>
    <row r="20" spans="1:2" x14ac:dyDescent="0.25">
      <c r="A20" t="s">
        <v>208</v>
      </c>
      <c r="B20" t="s">
        <v>734</v>
      </c>
    </row>
    <row r="21" spans="1:2" x14ac:dyDescent="0.25">
      <c r="A21" t="s">
        <v>203</v>
      </c>
      <c r="B21" t="s">
        <v>735</v>
      </c>
    </row>
    <row r="22" spans="1:2" x14ac:dyDescent="0.25">
      <c r="A22" t="s">
        <v>203</v>
      </c>
      <c r="B22" t="s">
        <v>280</v>
      </c>
    </row>
    <row r="23" spans="1:2" x14ac:dyDescent="0.25">
      <c r="A23" t="s">
        <v>221</v>
      </c>
      <c r="B23" t="s">
        <v>736</v>
      </c>
    </row>
    <row r="24" spans="1:2" x14ac:dyDescent="0.25">
      <c r="A24" t="s">
        <v>203</v>
      </c>
      <c r="B24" t="s">
        <v>737</v>
      </c>
    </row>
    <row r="25" spans="1:2" x14ac:dyDescent="0.25">
      <c r="A25" t="s">
        <v>201</v>
      </c>
      <c r="B25" t="s">
        <v>738</v>
      </c>
    </row>
    <row r="26" spans="1:2" x14ac:dyDescent="0.25">
      <c r="A26" t="s">
        <v>201</v>
      </c>
      <c r="B26" t="s">
        <v>739</v>
      </c>
    </row>
    <row r="27" spans="1:2" x14ac:dyDescent="0.25">
      <c r="A27" t="s">
        <v>203</v>
      </c>
      <c r="B27" t="s">
        <v>260</v>
      </c>
    </row>
    <row r="28" spans="1:2" x14ac:dyDescent="0.25">
      <c r="A28" t="s">
        <v>203</v>
      </c>
      <c r="B28" t="s">
        <v>198</v>
      </c>
    </row>
    <row r="29" spans="1:2" x14ac:dyDescent="0.25">
      <c r="A29" t="s">
        <v>221</v>
      </c>
      <c r="B29" t="s">
        <v>740</v>
      </c>
    </row>
    <row r="30" spans="1:2" x14ac:dyDescent="0.25">
      <c r="A30" t="s">
        <v>203</v>
      </c>
      <c r="B30" t="s">
        <v>741</v>
      </c>
    </row>
    <row r="31" spans="1:2" x14ac:dyDescent="0.25">
      <c r="A31" t="s">
        <v>203</v>
      </c>
      <c r="B31" t="s">
        <v>742</v>
      </c>
    </row>
    <row r="32" spans="1:2" x14ac:dyDescent="0.25">
      <c r="A32" t="s">
        <v>208</v>
      </c>
      <c r="B32" t="s">
        <v>743</v>
      </c>
    </row>
    <row r="33" spans="1:2" x14ac:dyDescent="0.25">
      <c r="A33" t="s">
        <v>208</v>
      </c>
      <c r="B33" t="s">
        <v>229</v>
      </c>
    </row>
    <row r="34" spans="1:2" x14ac:dyDescent="0.25">
      <c r="A34" t="s">
        <v>203</v>
      </c>
      <c r="B34" t="s">
        <v>542</v>
      </c>
    </row>
    <row r="35" spans="1:2" x14ac:dyDescent="0.25">
      <c r="A35" t="s">
        <v>203</v>
      </c>
      <c r="B35" t="s">
        <v>744</v>
      </c>
    </row>
    <row r="36" spans="1:2" x14ac:dyDescent="0.25">
      <c r="A36" t="s">
        <v>201</v>
      </c>
      <c r="B36" t="s">
        <v>745</v>
      </c>
    </row>
    <row r="37" spans="1:2" x14ac:dyDescent="0.25">
      <c r="A37" t="s">
        <v>203</v>
      </c>
      <c r="B37" t="s">
        <v>229</v>
      </c>
    </row>
    <row r="38" spans="1:2" x14ac:dyDescent="0.25">
      <c r="A38" t="s">
        <v>203</v>
      </c>
      <c r="B38" t="s">
        <v>746</v>
      </c>
    </row>
    <row r="39" spans="1:2" x14ac:dyDescent="0.25">
      <c r="A39" t="s">
        <v>226</v>
      </c>
      <c r="B39" t="s">
        <v>78</v>
      </c>
    </row>
    <row r="40" spans="1:2" x14ac:dyDescent="0.25">
      <c r="A40" t="s">
        <v>201</v>
      </c>
      <c r="B40" t="s">
        <v>214</v>
      </c>
    </row>
    <row r="41" spans="1:2" x14ac:dyDescent="0.25">
      <c r="A41" t="s">
        <v>201</v>
      </c>
      <c r="B41" t="s">
        <v>232</v>
      </c>
    </row>
    <row r="42" spans="1:2" x14ac:dyDescent="0.25">
      <c r="A42" t="s">
        <v>201</v>
      </c>
      <c r="B42" t="s">
        <v>747</v>
      </c>
    </row>
    <row r="43" spans="1:2" x14ac:dyDescent="0.25">
      <c r="A43" t="s">
        <v>226</v>
      </c>
      <c r="B43" t="s">
        <v>748</v>
      </c>
    </row>
    <row r="44" spans="1:2" x14ac:dyDescent="0.25">
      <c r="A44" t="s">
        <v>203</v>
      </c>
      <c r="B44" t="s">
        <v>234</v>
      </c>
    </row>
    <row r="45" spans="1:2" x14ac:dyDescent="0.25">
      <c r="A45" t="s">
        <v>203</v>
      </c>
      <c r="B45" t="s">
        <v>749</v>
      </c>
    </row>
    <row r="46" spans="1:2" x14ac:dyDescent="0.25">
      <c r="A46" t="s">
        <v>203</v>
      </c>
      <c r="B46" t="s">
        <v>335</v>
      </c>
    </row>
    <row r="47" spans="1:2" x14ac:dyDescent="0.25">
      <c r="A47" t="s">
        <v>201</v>
      </c>
      <c r="B47" t="s">
        <v>750</v>
      </c>
    </row>
    <row r="48" spans="1:2" x14ac:dyDescent="0.25">
      <c r="A48" t="s">
        <v>203</v>
      </c>
      <c r="B48" t="s">
        <v>751</v>
      </c>
    </row>
    <row r="49" spans="1:2" x14ac:dyDescent="0.25">
      <c r="A49" t="s">
        <v>201</v>
      </c>
      <c r="B49" t="s">
        <v>752</v>
      </c>
    </row>
    <row r="50" spans="1:2" x14ac:dyDescent="0.25">
      <c r="A50" t="s">
        <v>221</v>
      </c>
      <c r="B50" t="s">
        <v>736</v>
      </c>
    </row>
    <row r="51" spans="1:2" x14ac:dyDescent="0.25">
      <c r="A51" t="s">
        <v>201</v>
      </c>
      <c r="B51" t="s">
        <v>753</v>
      </c>
    </row>
    <row r="52" spans="1:2" x14ac:dyDescent="0.25">
      <c r="A52" t="s">
        <v>221</v>
      </c>
      <c r="B52" t="s">
        <v>375</v>
      </c>
    </row>
    <row r="53" spans="1:2" x14ac:dyDescent="0.25">
      <c r="A53" t="s">
        <v>203</v>
      </c>
      <c r="B53" t="s">
        <v>53</v>
      </c>
    </row>
    <row r="54" spans="1:2" x14ac:dyDescent="0.25">
      <c r="A54" t="s">
        <v>203</v>
      </c>
      <c r="B54" t="s">
        <v>53</v>
      </c>
    </row>
    <row r="55" spans="1:2" x14ac:dyDescent="0.25">
      <c r="A55" t="s">
        <v>203</v>
      </c>
      <c r="B55" t="s">
        <v>248</v>
      </c>
    </row>
    <row r="56" spans="1:2" x14ac:dyDescent="0.25">
      <c r="A56" t="s">
        <v>201</v>
      </c>
      <c r="B56" t="s">
        <v>754</v>
      </c>
    </row>
    <row r="57" spans="1:2" x14ac:dyDescent="0.25">
      <c r="A57" t="s">
        <v>226</v>
      </c>
      <c r="B57" t="s">
        <v>755</v>
      </c>
    </row>
    <row r="58" spans="1:2" x14ac:dyDescent="0.25">
      <c r="A58" t="s">
        <v>203</v>
      </c>
      <c r="B58" t="s">
        <v>234</v>
      </c>
    </row>
    <row r="59" spans="1:2" x14ac:dyDescent="0.25">
      <c r="A59" t="s">
        <v>201</v>
      </c>
      <c r="B59" t="s">
        <v>756</v>
      </c>
    </row>
    <row r="60" spans="1:2" x14ac:dyDescent="0.25">
      <c r="A60" t="s">
        <v>201</v>
      </c>
      <c r="B60" t="s">
        <v>757</v>
      </c>
    </row>
    <row r="61" spans="1:2" x14ac:dyDescent="0.25">
      <c r="A61" t="s">
        <v>203</v>
      </c>
      <c r="B61" t="s">
        <v>758</v>
      </c>
    </row>
    <row r="62" spans="1:2" x14ac:dyDescent="0.25">
      <c r="A62" t="s">
        <v>201</v>
      </c>
      <c r="B62" t="s">
        <v>759</v>
      </c>
    </row>
    <row r="63" spans="1:2" x14ac:dyDescent="0.25">
      <c r="A63" t="s">
        <v>201</v>
      </c>
      <c r="B63" t="s">
        <v>760</v>
      </c>
    </row>
    <row r="64" spans="1:2" x14ac:dyDescent="0.25">
      <c r="A64" t="s">
        <v>201</v>
      </c>
      <c r="B64" t="s">
        <v>761</v>
      </c>
    </row>
    <row r="65" spans="1:2" x14ac:dyDescent="0.25">
      <c r="A65" t="s">
        <v>203</v>
      </c>
      <c r="B65" t="s">
        <v>762</v>
      </c>
    </row>
    <row r="66" spans="1:2" x14ac:dyDescent="0.25">
      <c r="A66" t="s">
        <v>201</v>
      </c>
      <c r="B66" t="s">
        <v>763</v>
      </c>
    </row>
    <row r="67" spans="1:2" x14ac:dyDescent="0.25">
      <c r="A67" t="s">
        <v>201</v>
      </c>
      <c r="B67" t="s">
        <v>764</v>
      </c>
    </row>
    <row r="68" spans="1:2" x14ac:dyDescent="0.25">
      <c r="A68" t="s">
        <v>203</v>
      </c>
      <c r="B68" t="s">
        <v>198</v>
      </c>
    </row>
    <row r="69" spans="1:2" x14ac:dyDescent="0.25">
      <c r="A69" t="s">
        <v>203</v>
      </c>
      <c r="B69" t="s">
        <v>619</v>
      </c>
    </row>
    <row r="70" spans="1:2" x14ac:dyDescent="0.25">
      <c r="A70" t="s">
        <v>203</v>
      </c>
      <c r="B70" t="s">
        <v>72</v>
      </c>
    </row>
    <row r="71" spans="1:2" x14ac:dyDescent="0.25">
      <c r="A71" t="s">
        <v>201</v>
      </c>
      <c r="B71" t="s">
        <v>256</v>
      </c>
    </row>
    <row r="72" spans="1:2" x14ac:dyDescent="0.25">
      <c r="A72" t="s">
        <v>221</v>
      </c>
      <c r="B72" t="s">
        <v>263</v>
      </c>
    </row>
    <row r="73" spans="1:2" x14ac:dyDescent="0.25">
      <c r="A73" t="s">
        <v>201</v>
      </c>
      <c r="B73" t="s">
        <v>765</v>
      </c>
    </row>
    <row r="74" spans="1:2" x14ac:dyDescent="0.25">
      <c r="A74" t="s">
        <v>201</v>
      </c>
      <c r="B74" t="s">
        <v>766</v>
      </c>
    </row>
    <row r="75" spans="1:2" x14ac:dyDescent="0.25">
      <c r="A75" t="s">
        <v>221</v>
      </c>
      <c r="B75" t="s">
        <v>398</v>
      </c>
    </row>
    <row r="76" spans="1:2" x14ac:dyDescent="0.25">
      <c r="A76" t="s">
        <v>221</v>
      </c>
      <c r="B76" t="s">
        <v>266</v>
      </c>
    </row>
    <row r="77" spans="1:2" x14ac:dyDescent="0.25">
      <c r="A77" t="s">
        <v>203</v>
      </c>
      <c r="B77" t="s">
        <v>767</v>
      </c>
    </row>
    <row r="78" spans="1:2" x14ac:dyDescent="0.25">
      <c r="A78" t="s">
        <v>201</v>
      </c>
      <c r="B78" t="s">
        <v>768</v>
      </c>
    </row>
    <row r="79" spans="1:2" x14ac:dyDescent="0.25">
      <c r="A79" t="s">
        <v>203</v>
      </c>
      <c r="B79" t="s">
        <v>769</v>
      </c>
    </row>
    <row r="80" spans="1:2" x14ac:dyDescent="0.25">
      <c r="A80" t="s">
        <v>208</v>
      </c>
      <c r="B80" t="s">
        <v>770</v>
      </c>
    </row>
    <row r="81" spans="1:2" x14ac:dyDescent="0.25">
      <c r="A81" t="s">
        <v>203</v>
      </c>
      <c r="B81" t="s">
        <v>771</v>
      </c>
    </row>
    <row r="82" spans="1:2" x14ac:dyDescent="0.25">
      <c r="A82" t="s">
        <v>201</v>
      </c>
      <c r="B82" t="s">
        <v>635</v>
      </c>
    </row>
    <row r="83" spans="1:2" x14ac:dyDescent="0.25">
      <c r="A83" t="s">
        <v>203</v>
      </c>
      <c r="B83" t="s">
        <v>295</v>
      </c>
    </row>
    <row r="84" spans="1:2" x14ac:dyDescent="0.25">
      <c r="A84" t="s">
        <v>201</v>
      </c>
      <c r="B84" t="s">
        <v>214</v>
      </c>
    </row>
    <row r="85" spans="1:2" x14ac:dyDescent="0.25">
      <c r="A85" t="s">
        <v>203</v>
      </c>
      <c r="B85" t="s">
        <v>772</v>
      </c>
    </row>
    <row r="86" spans="1:2" x14ac:dyDescent="0.25">
      <c r="A86" t="s">
        <v>203</v>
      </c>
      <c r="B86" t="s">
        <v>278</v>
      </c>
    </row>
    <row r="87" spans="1:2" x14ac:dyDescent="0.25">
      <c r="A87" t="s">
        <v>203</v>
      </c>
      <c r="B87" t="s">
        <v>74</v>
      </c>
    </row>
    <row r="88" spans="1:2" x14ac:dyDescent="0.25">
      <c r="A88" t="s">
        <v>203</v>
      </c>
      <c r="B88" t="s">
        <v>773</v>
      </c>
    </row>
    <row r="89" spans="1:2" x14ac:dyDescent="0.25">
      <c r="A89" t="s">
        <v>201</v>
      </c>
      <c r="B89" t="s">
        <v>774</v>
      </c>
    </row>
    <row r="90" spans="1:2" x14ac:dyDescent="0.25">
      <c r="A90" t="s">
        <v>201</v>
      </c>
      <c r="B90" t="s">
        <v>732</v>
      </c>
    </row>
    <row r="91" spans="1:2" x14ac:dyDescent="0.25">
      <c r="A91" t="s">
        <v>203</v>
      </c>
      <c r="B91" t="s">
        <v>278</v>
      </c>
    </row>
    <row r="92" spans="1:2" x14ac:dyDescent="0.25">
      <c r="A92" t="s">
        <v>203</v>
      </c>
      <c r="B92" t="s">
        <v>775</v>
      </c>
    </row>
    <row r="93" spans="1:2" x14ac:dyDescent="0.25">
      <c r="A93" t="s">
        <v>208</v>
      </c>
      <c r="B93" t="s">
        <v>366</v>
      </c>
    </row>
    <row r="94" spans="1:2" x14ac:dyDescent="0.25">
      <c r="A94" t="s">
        <v>201</v>
      </c>
      <c r="B94" t="s">
        <v>776</v>
      </c>
    </row>
    <row r="95" spans="1:2" x14ac:dyDescent="0.25">
      <c r="A95" t="s">
        <v>203</v>
      </c>
      <c r="B95" t="s">
        <v>777</v>
      </c>
    </row>
    <row r="96" spans="1:2" x14ac:dyDescent="0.25">
      <c r="A96" t="s">
        <v>208</v>
      </c>
      <c r="B96" t="s">
        <v>778</v>
      </c>
    </row>
    <row r="97" spans="1:2" x14ac:dyDescent="0.25">
      <c r="A97" t="s">
        <v>201</v>
      </c>
      <c r="B97" t="s">
        <v>779</v>
      </c>
    </row>
    <row r="98" spans="1:2" x14ac:dyDescent="0.25">
      <c r="A98" t="s">
        <v>201</v>
      </c>
      <c r="B98" t="s">
        <v>780</v>
      </c>
    </row>
    <row r="99" spans="1:2" x14ac:dyDescent="0.25">
      <c r="A99" t="s">
        <v>201</v>
      </c>
      <c r="B99" t="s">
        <v>781</v>
      </c>
    </row>
    <row r="100" spans="1:2" x14ac:dyDescent="0.25">
      <c r="A100" t="s">
        <v>201</v>
      </c>
      <c r="B100" t="s">
        <v>484</v>
      </c>
    </row>
    <row r="101" spans="1:2" x14ac:dyDescent="0.25">
      <c r="A101" t="s">
        <v>203</v>
      </c>
      <c r="B101" t="s">
        <v>782</v>
      </c>
    </row>
    <row r="102" spans="1:2" x14ac:dyDescent="0.25">
      <c r="A102" t="s">
        <v>203</v>
      </c>
      <c r="B102" t="s">
        <v>323</v>
      </c>
    </row>
    <row r="103" spans="1:2" x14ac:dyDescent="0.25">
      <c r="A103" t="s">
        <v>201</v>
      </c>
      <c r="B103" t="s">
        <v>783</v>
      </c>
    </row>
    <row r="104" spans="1:2" x14ac:dyDescent="0.25">
      <c r="A104" t="s">
        <v>201</v>
      </c>
      <c r="B104" t="s">
        <v>784</v>
      </c>
    </row>
    <row r="105" spans="1:2" x14ac:dyDescent="0.25">
      <c r="A105" t="s">
        <v>203</v>
      </c>
      <c r="B105" t="s">
        <v>785</v>
      </c>
    </row>
    <row r="106" spans="1:2" x14ac:dyDescent="0.25">
      <c r="A106" t="s">
        <v>208</v>
      </c>
      <c r="B106" t="s">
        <v>278</v>
      </c>
    </row>
    <row r="107" spans="1:2" x14ac:dyDescent="0.25">
      <c r="A107" t="s">
        <v>201</v>
      </c>
      <c r="B107" t="s">
        <v>786</v>
      </c>
    </row>
    <row r="108" spans="1:2" x14ac:dyDescent="0.25">
      <c r="A108" t="s">
        <v>203</v>
      </c>
      <c r="B108" t="s">
        <v>787</v>
      </c>
    </row>
    <row r="109" spans="1:2" x14ac:dyDescent="0.25">
      <c r="A109" t="s">
        <v>203</v>
      </c>
      <c r="B109" t="s">
        <v>788</v>
      </c>
    </row>
    <row r="110" spans="1:2" x14ac:dyDescent="0.25">
      <c r="A110" t="s">
        <v>203</v>
      </c>
      <c r="B110" t="s">
        <v>198</v>
      </c>
    </row>
    <row r="111" spans="1:2" x14ac:dyDescent="0.25">
      <c r="A111" t="s">
        <v>203</v>
      </c>
      <c r="B111" t="s">
        <v>789</v>
      </c>
    </row>
    <row r="112" spans="1:2" x14ac:dyDescent="0.25">
      <c r="A112" t="s">
        <v>203</v>
      </c>
      <c r="B112" t="s">
        <v>53</v>
      </c>
    </row>
    <row r="113" spans="1:2" x14ac:dyDescent="0.25">
      <c r="A113" t="s">
        <v>201</v>
      </c>
      <c r="B113" t="s">
        <v>790</v>
      </c>
    </row>
    <row r="114" spans="1:2" x14ac:dyDescent="0.25">
      <c r="A114" t="s">
        <v>203</v>
      </c>
      <c r="B114" t="s">
        <v>791</v>
      </c>
    </row>
    <row r="115" spans="1:2" x14ac:dyDescent="0.25">
      <c r="A115" t="s">
        <v>203</v>
      </c>
      <c r="B115" t="s">
        <v>542</v>
      </c>
    </row>
    <row r="116" spans="1:2" x14ac:dyDescent="0.25">
      <c r="A116" t="s">
        <v>201</v>
      </c>
      <c r="B116" t="s">
        <v>792</v>
      </c>
    </row>
    <row r="117" spans="1:2" x14ac:dyDescent="0.25">
      <c r="A117" t="s">
        <v>208</v>
      </c>
      <c r="B117" t="s">
        <v>198</v>
      </c>
    </row>
    <row r="118" spans="1:2" x14ac:dyDescent="0.25">
      <c r="A118" t="s">
        <v>201</v>
      </c>
      <c r="B118" t="s">
        <v>220</v>
      </c>
    </row>
    <row r="119" spans="1:2" x14ac:dyDescent="0.25">
      <c r="A119" t="s">
        <v>221</v>
      </c>
      <c r="B119" t="s">
        <v>793</v>
      </c>
    </row>
    <row r="120" spans="1:2" x14ac:dyDescent="0.25">
      <c r="A120" t="s">
        <v>201</v>
      </c>
      <c r="B120" t="s">
        <v>794</v>
      </c>
    </row>
    <row r="121" spans="1:2" x14ac:dyDescent="0.25">
      <c r="A121" t="s">
        <v>201</v>
      </c>
      <c r="B121" t="s">
        <v>795</v>
      </c>
    </row>
    <row r="122" spans="1:2" x14ac:dyDescent="0.25">
      <c r="A122" t="s">
        <v>203</v>
      </c>
      <c r="B122" t="s">
        <v>796</v>
      </c>
    </row>
    <row r="123" spans="1:2" x14ac:dyDescent="0.25">
      <c r="A123" t="s">
        <v>208</v>
      </c>
      <c r="B123" t="s">
        <v>335</v>
      </c>
    </row>
    <row r="124" spans="1:2" x14ac:dyDescent="0.25">
      <c r="A124" t="s">
        <v>203</v>
      </c>
      <c r="B124" t="s">
        <v>797</v>
      </c>
    </row>
    <row r="125" spans="1:2" x14ac:dyDescent="0.25">
      <c r="A125" t="s">
        <v>208</v>
      </c>
      <c r="B125" t="s">
        <v>798</v>
      </c>
    </row>
    <row r="126" spans="1:2" x14ac:dyDescent="0.25">
      <c r="A126" t="s">
        <v>203</v>
      </c>
      <c r="B126" t="s">
        <v>300</v>
      </c>
    </row>
    <row r="127" spans="1:2" x14ac:dyDescent="0.25">
      <c r="A127" t="s">
        <v>201</v>
      </c>
      <c r="B127" t="s">
        <v>263</v>
      </c>
    </row>
    <row r="128" spans="1:2" x14ac:dyDescent="0.25">
      <c r="A128" t="s">
        <v>203</v>
      </c>
      <c r="B128" t="s">
        <v>78</v>
      </c>
    </row>
    <row r="129" spans="1:2" x14ac:dyDescent="0.25">
      <c r="A129" t="s">
        <v>221</v>
      </c>
      <c r="B129" t="s">
        <v>799</v>
      </c>
    </row>
    <row r="130" spans="1:2" x14ac:dyDescent="0.25">
      <c r="A130" t="s">
        <v>203</v>
      </c>
      <c r="B130" t="s">
        <v>800</v>
      </c>
    </row>
    <row r="131" spans="1:2" x14ac:dyDescent="0.25">
      <c r="A131" t="s">
        <v>203</v>
      </c>
      <c r="B131" t="s">
        <v>801</v>
      </c>
    </row>
    <row r="132" spans="1:2" x14ac:dyDescent="0.25">
      <c r="A132" t="s">
        <v>201</v>
      </c>
      <c r="B132" t="s">
        <v>732</v>
      </c>
    </row>
    <row r="133" spans="1:2" x14ac:dyDescent="0.25">
      <c r="A133" t="s">
        <v>208</v>
      </c>
      <c r="B133" t="s">
        <v>53</v>
      </c>
    </row>
    <row r="134" spans="1:2" x14ac:dyDescent="0.25">
      <c r="A134" t="s">
        <v>201</v>
      </c>
      <c r="B134" t="s">
        <v>251</v>
      </c>
    </row>
    <row r="135" spans="1:2" x14ac:dyDescent="0.25">
      <c r="A135" t="s">
        <v>201</v>
      </c>
      <c r="B135" t="s">
        <v>229</v>
      </c>
    </row>
    <row r="136" spans="1:2" x14ac:dyDescent="0.25">
      <c r="A136" t="s">
        <v>201</v>
      </c>
      <c r="B136" t="s">
        <v>802</v>
      </c>
    </row>
    <row r="137" spans="1:2" x14ac:dyDescent="0.25">
      <c r="A137" t="s">
        <v>203</v>
      </c>
      <c r="B137" t="s">
        <v>803</v>
      </c>
    </row>
    <row r="138" spans="1:2" x14ac:dyDescent="0.25">
      <c r="A138" t="s">
        <v>201</v>
      </c>
      <c r="B138" t="s">
        <v>804</v>
      </c>
    </row>
    <row r="139" spans="1:2" x14ac:dyDescent="0.25">
      <c r="A139" t="s">
        <v>203</v>
      </c>
      <c r="B139" t="s">
        <v>206</v>
      </c>
    </row>
    <row r="140" spans="1:2" x14ac:dyDescent="0.25">
      <c r="A140" t="s">
        <v>201</v>
      </c>
      <c r="B140" t="s">
        <v>309</v>
      </c>
    </row>
    <row r="141" spans="1:2" x14ac:dyDescent="0.25">
      <c r="A141" t="s">
        <v>203</v>
      </c>
      <c r="B141" t="s">
        <v>198</v>
      </c>
    </row>
    <row r="142" spans="1:2" x14ac:dyDescent="0.25">
      <c r="A142" t="s">
        <v>203</v>
      </c>
      <c r="B142" t="s">
        <v>805</v>
      </c>
    </row>
    <row r="143" spans="1:2" x14ac:dyDescent="0.25">
      <c r="A143" t="s">
        <v>203</v>
      </c>
      <c r="B143" t="s">
        <v>806</v>
      </c>
    </row>
    <row r="144" spans="1:2" x14ac:dyDescent="0.25">
      <c r="A144" t="s">
        <v>203</v>
      </c>
      <c r="B144" t="s">
        <v>807</v>
      </c>
    </row>
    <row r="145" spans="1:2" x14ac:dyDescent="0.25">
      <c r="A145" t="s">
        <v>201</v>
      </c>
      <c r="B145" t="s">
        <v>808</v>
      </c>
    </row>
    <row r="146" spans="1:2" x14ac:dyDescent="0.25">
      <c r="A146" t="s">
        <v>203</v>
      </c>
      <c r="B146" t="s">
        <v>46</v>
      </c>
    </row>
    <row r="147" spans="1:2" x14ac:dyDescent="0.25">
      <c r="A147" t="s">
        <v>208</v>
      </c>
      <c r="B147" t="s">
        <v>809</v>
      </c>
    </row>
    <row r="148" spans="1:2" x14ac:dyDescent="0.25">
      <c r="A148" t="s">
        <v>201</v>
      </c>
      <c r="B148" t="s">
        <v>810</v>
      </c>
    </row>
    <row r="149" spans="1:2" x14ac:dyDescent="0.25">
      <c r="A149" t="s">
        <v>201</v>
      </c>
      <c r="B149" t="s">
        <v>811</v>
      </c>
    </row>
    <row r="150" spans="1:2" x14ac:dyDescent="0.25">
      <c r="A150" t="s">
        <v>201</v>
      </c>
      <c r="B150" t="s">
        <v>812</v>
      </c>
    </row>
    <row r="151" spans="1:2" x14ac:dyDescent="0.25">
      <c r="A151" t="s">
        <v>201</v>
      </c>
      <c r="B151" t="s">
        <v>813</v>
      </c>
    </row>
    <row r="152" spans="1:2" x14ac:dyDescent="0.25">
      <c r="A152" t="s">
        <v>203</v>
      </c>
      <c r="B152" t="s">
        <v>74</v>
      </c>
    </row>
    <row r="153" spans="1:2" x14ac:dyDescent="0.25">
      <c r="A153" t="s">
        <v>203</v>
      </c>
      <c r="B153" t="s">
        <v>278</v>
      </c>
    </row>
    <row r="154" spans="1:2" x14ac:dyDescent="0.25">
      <c r="A154" t="s">
        <v>201</v>
      </c>
      <c r="B154" t="s">
        <v>814</v>
      </c>
    </row>
    <row r="155" spans="1:2" x14ac:dyDescent="0.25">
      <c r="A155" t="s">
        <v>203</v>
      </c>
      <c r="B155" t="s">
        <v>727</v>
      </c>
    </row>
    <row r="156" spans="1:2" x14ac:dyDescent="0.25">
      <c r="A156" t="s">
        <v>201</v>
      </c>
      <c r="B156" t="s">
        <v>815</v>
      </c>
    </row>
    <row r="157" spans="1:2" x14ac:dyDescent="0.25">
      <c r="A157" t="s">
        <v>201</v>
      </c>
      <c r="B157" t="s">
        <v>816</v>
      </c>
    </row>
    <row r="158" spans="1:2" x14ac:dyDescent="0.25">
      <c r="A158" t="s">
        <v>203</v>
      </c>
      <c r="B158" t="s">
        <v>817</v>
      </c>
    </row>
    <row r="159" spans="1:2" x14ac:dyDescent="0.25">
      <c r="A159" t="s">
        <v>221</v>
      </c>
      <c r="B159" t="s">
        <v>305</v>
      </c>
    </row>
    <row r="160" spans="1:2" x14ac:dyDescent="0.25">
      <c r="A160" t="s">
        <v>208</v>
      </c>
      <c r="B160" t="s">
        <v>278</v>
      </c>
    </row>
    <row r="161" spans="1:2" x14ac:dyDescent="0.25">
      <c r="A161" t="s">
        <v>203</v>
      </c>
      <c r="B161" t="s">
        <v>818</v>
      </c>
    </row>
    <row r="162" spans="1:2" x14ac:dyDescent="0.25">
      <c r="A162" t="s">
        <v>203</v>
      </c>
      <c r="B162" t="s">
        <v>260</v>
      </c>
    </row>
    <row r="163" spans="1:2" x14ac:dyDescent="0.25">
      <c r="A163" t="s">
        <v>201</v>
      </c>
      <c r="B163" t="s">
        <v>819</v>
      </c>
    </row>
    <row r="164" spans="1:2" x14ac:dyDescent="0.25">
      <c r="A164" t="s">
        <v>201</v>
      </c>
      <c r="B164" t="s">
        <v>820</v>
      </c>
    </row>
    <row r="165" spans="1:2" x14ac:dyDescent="0.25">
      <c r="A165" t="s">
        <v>221</v>
      </c>
      <c r="B165" t="s">
        <v>821</v>
      </c>
    </row>
    <row r="166" spans="1:2" x14ac:dyDescent="0.25">
      <c r="A166" t="s">
        <v>203</v>
      </c>
      <c r="B166" t="s">
        <v>822</v>
      </c>
    </row>
    <row r="167" spans="1:2" x14ac:dyDescent="0.25">
      <c r="A167" t="s">
        <v>203</v>
      </c>
      <c r="B167" t="s">
        <v>823</v>
      </c>
    </row>
    <row r="168" spans="1:2" x14ac:dyDescent="0.25">
      <c r="A168" t="s">
        <v>221</v>
      </c>
      <c r="B168" t="s">
        <v>237</v>
      </c>
    </row>
    <row r="169" spans="1:2" x14ac:dyDescent="0.25">
      <c r="A169" t="s">
        <v>203</v>
      </c>
      <c r="B169" t="s">
        <v>824</v>
      </c>
    </row>
    <row r="170" spans="1:2" x14ac:dyDescent="0.25">
      <c r="A170" t="s">
        <v>203</v>
      </c>
      <c r="B170" t="s">
        <v>334</v>
      </c>
    </row>
    <row r="171" spans="1:2" x14ac:dyDescent="0.25">
      <c r="A171" t="s">
        <v>203</v>
      </c>
      <c r="B171" t="s">
        <v>825</v>
      </c>
    </row>
    <row r="172" spans="1:2" x14ac:dyDescent="0.25">
      <c r="A172" t="s">
        <v>203</v>
      </c>
      <c r="B172" t="s">
        <v>826</v>
      </c>
    </row>
    <row r="173" spans="1:2" x14ac:dyDescent="0.25">
      <c r="A173" t="s">
        <v>203</v>
      </c>
      <c r="B173" t="s">
        <v>198</v>
      </c>
    </row>
    <row r="174" spans="1:2" x14ac:dyDescent="0.25">
      <c r="A174" t="s">
        <v>203</v>
      </c>
      <c r="B174" t="s">
        <v>827</v>
      </c>
    </row>
    <row r="175" spans="1:2" x14ac:dyDescent="0.25">
      <c r="A175" t="s">
        <v>221</v>
      </c>
      <c r="B175" t="s">
        <v>828</v>
      </c>
    </row>
    <row r="176" spans="1:2" x14ac:dyDescent="0.25">
      <c r="A176" t="s">
        <v>201</v>
      </c>
      <c r="B176" t="s">
        <v>212</v>
      </c>
    </row>
    <row r="177" spans="1:2" x14ac:dyDescent="0.25">
      <c r="A177" t="s">
        <v>203</v>
      </c>
      <c r="B177" t="s">
        <v>278</v>
      </c>
    </row>
    <row r="178" spans="1:2" x14ac:dyDescent="0.25">
      <c r="A178" t="s">
        <v>208</v>
      </c>
      <c r="B178" t="s">
        <v>278</v>
      </c>
    </row>
    <row r="179" spans="1:2" x14ac:dyDescent="0.25">
      <c r="A179" t="s">
        <v>203</v>
      </c>
      <c r="B179" t="s">
        <v>278</v>
      </c>
    </row>
    <row r="180" spans="1:2" x14ac:dyDescent="0.25">
      <c r="A180" t="s">
        <v>201</v>
      </c>
      <c r="B180" t="s">
        <v>829</v>
      </c>
    </row>
    <row r="181" spans="1:2" x14ac:dyDescent="0.25">
      <c r="A181" t="s">
        <v>203</v>
      </c>
      <c r="B181" t="s">
        <v>830</v>
      </c>
    </row>
    <row r="182" spans="1:2" x14ac:dyDescent="0.25">
      <c r="A182" t="s">
        <v>201</v>
      </c>
      <c r="B182" t="s">
        <v>831</v>
      </c>
    </row>
    <row r="183" spans="1:2" x14ac:dyDescent="0.25">
      <c r="A183" t="s">
        <v>201</v>
      </c>
      <c r="B183" t="s">
        <v>832</v>
      </c>
    </row>
    <row r="184" spans="1:2" x14ac:dyDescent="0.25">
      <c r="A184" t="s">
        <v>203</v>
      </c>
      <c r="B184" t="s">
        <v>278</v>
      </c>
    </row>
    <row r="185" spans="1:2" x14ac:dyDescent="0.25">
      <c r="A185" t="s">
        <v>208</v>
      </c>
      <c r="B185" t="s">
        <v>218</v>
      </c>
    </row>
    <row r="186" spans="1:2" x14ac:dyDescent="0.25">
      <c r="A186" t="s">
        <v>201</v>
      </c>
      <c r="B186" t="s">
        <v>833</v>
      </c>
    </row>
    <row r="187" spans="1:2" x14ac:dyDescent="0.25">
      <c r="A187" t="s">
        <v>203</v>
      </c>
      <c r="B187" t="s">
        <v>53</v>
      </c>
    </row>
    <row r="188" spans="1:2" x14ac:dyDescent="0.25">
      <c r="A188" t="s">
        <v>203</v>
      </c>
      <c r="B188" t="s">
        <v>834</v>
      </c>
    </row>
    <row r="189" spans="1:2" x14ac:dyDescent="0.25">
      <c r="A189" t="s">
        <v>203</v>
      </c>
      <c r="B189" t="s">
        <v>46</v>
      </c>
    </row>
    <row r="190" spans="1:2" x14ac:dyDescent="0.25">
      <c r="A190" t="s">
        <v>201</v>
      </c>
      <c r="B190" t="s">
        <v>309</v>
      </c>
    </row>
    <row r="191" spans="1:2" x14ac:dyDescent="0.25">
      <c r="A191" t="s">
        <v>203</v>
      </c>
      <c r="B191" t="s">
        <v>835</v>
      </c>
    </row>
    <row r="192" spans="1:2" x14ac:dyDescent="0.25">
      <c r="A192" t="s">
        <v>203</v>
      </c>
      <c r="B192" t="s">
        <v>818</v>
      </c>
    </row>
    <row r="193" spans="1:2" x14ac:dyDescent="0.25">
      <c r="A193" t="s">
        <v>203</v>
      </c>
      <c r="B193" t="s">
        <v>382</v>
      </c>
    </row>
    <row r="194" spans="1:2" x14ac:dyDescent="0.25">
      <c r="A194" t="s">
        <v>203</v>
      </c>
      <c r="B194" t="s">
        <v>619</v>
      </c>
    </row>
    <row r="195" spans="1:2" x14ac:dyDescent="0.25">
      <c r="A195" t="s">
        <v>208</v>
      </c>
      <c r="B195" t="s">
        <v>278</v>
      </c>
    </row>
    <row r="196" spans="1:2" x14ac:dyDescent="0.25">
      <c r="A196" t="s">
        <v>201</v>
      </c>
      <c r="B196" t="s">
        <v>309</v>
      </c>
    </row>
    <row r="197" spans="1:2" x14ac:dyDescent="0.25">
      <c r="A197" t="s">
        <v>203</v>
      </c>
      <c r="B197" t="s">
        <v>836</v>
      </c>
    </row>
    <row r="198" spans="1:2" x14ac:dyDescent="0.25">
      <c r="A198" t="s">
        <v>201</v>
      </c>
      <c r="B198" t="s">
        <v>837</v>
      </c>
    </row>
    <row r="199" spans="1:2" x14ac:dyDescent="0.25">
      <c r="A199" t="s">
        <v>208</v>
      </c>
      <c r="B199" t="s">
        <v>838</v>
      </c>
    </row>
    <row r="200" spans="1:2" x14ac:dyDescent="0.25">
      <c r="A200" t="s">
        <v>203</v>
      </c>
      <c r="B200" t="s">
        <v>352</v>
      </c>
    </row>
    <row r="201" spans="1:2" x14ac:dyDescent="0.25">
      <c r="A201" t="s">
        <v>203</v>
      </c>
      <c r="B201" t="s">
        <v>278</v>
      </c>
    </row>
    <row r="202" spans="1:2" x14ac:dyDescent="0.25">
      <c r="A202" t="s">
        <v>203</v>
      </c>
      <c r="B202" t="s">
        <v>82</v>
      </c>
    </row>
    <row r="203" spans="1:2" x14ac:dyDescent="0.25">
      <c r="A203" t="s">
        <v>203</v>
      </c>
      <c r="B203" t="s">
        <v>839</v>
      </c>
    </row>
    <row r="204" spans="1:2" x14ac:dyDescent="0.25">
      <c r="A204" t="s">
        <v>203</v>
      </c>
      <c r="B204" t="s">
        <v>53</v>
      </c>
    </row>
    <row r="205" spans="1:2" x14ac:dyDescent="0.25">
      <c r="A205" t="s">
        <v>201</v>
      </c>
      <c r="B205" t="s">
        <v>212</v>
      </c>
    </row>
    <row r="206" spans="1:2" x14ac:dyDescent="0.25">
      <c r="A206" t="s">
        <v>201</v>
      </c>
      <c r="B206" t="s">
        <v>725</v>
      </c>
    </row>
    <row r="207" spans="1:2" x14ac:dyDescent="0.25">
      <c r="A207" t="s">
        <v>201</v>
      </c>
      <c r="B207" t="s">
        <v>764</v>
      </c>
    </row>
    <row r="208" spans="1:2" x14ac:dyDescent="0.25">
      <c r="A208" t="s">
        <v>208</v>
      </c>
      <c r="B208" t="s">
        <v>840</v>
      </c>
    </row>
    <row r="209" spans="1:2" x14ac:dyDescent="0.25">
      <c r="A209" t="s">
        <v>201</v>
      </c>
      <c r="B209" t="s">
        <v>263</v>
      </c>
    </row>
    <row r="210" spans="1:2" x14ac:dyDescent="0.25">
      <c r="A210" t="s">
        <v>201</v>
      </c>
      <c r="B210" t="s">
        <v>841</v>
      </c>
    </row>
    <row r="211" spans="1:2" x14ac:dyDescent="0.25">
      <c r="A211" t="s">
        <v>203</v>
      </c>
      <c r="B211" t="s">
        <v>842</v>
      </c>
    </row>
    <row r="212" spans="1:2" x14ac:dyDescent="0.25">
      <c r="A212" t="s">
        <v>203</v>
      </c>
      <c r="B212" t="s">
        <v>843</v>
      </c>
    </row>
    <row r="213" spans="1:2" x14ac:dyDescent="0.25">
      <c r="A213" t="s">
        <v>201</v>
      </c>
      <c r="B213" t="s">
        <v>844</v>
      </c>
    </row>
    <row r="214" spans="1:2" x14ac:dyDescent="0.25">
      <c r="A214" t="s">
        <v>203</v>
      </c>
      <c r="B214" t="s">
        <v>362</v>
      </c>
    </row>
    <row r="215" spans="1:2" x14ac:dyDescent="0.25">
      <c r="A215" t="s">
        <v>201</v>
      </c>
      <c r="B215" t="s">
        <v>646</v>
      </c>
    </row>
    <row r="216" spans="1:2" x14ac:dyDescent="0.25">
      <c r="A216" t="s">
        <v>201</v>
      </c>
      <c r="B216" t="s">
        <v>845</v>
      </c>
    </row>
    <row r="217" spans="1:2" x14ac:dyDescent="0.25">
      <c r="A217" t="s">
        <v>203</v>
      </c>
      <c r="B217" t="s">
        <v>248</v>
      </c>
    </row>
    <row r="218" spans="1:2" x14ac:dyDescent="0.25">
      <c r="A218" t="s">
        <v>203</v>
      </c>
      <c r="B218" t="s">
        <v>234</v>
      </c>
    </row>
    <row r="219" spans="1:2" x14ac:dyDescent="0.25">
      <c r="A219" t="s">
        <v>201</v>
      </c>
      <c r="B219" t="s">
        <v>846</v>
      </c>
    </row>
    <row r="220" spans="1:2" x14ac:dyDescent="0.25">
      <c r="A220" t="s">
        <v>203</v>
      </c>
      <c r="B220" t="s">
        <v>278</v>
      </c>
    </row>
    <row r="221" spans="1:2" x14ac:dyDescent="0.25">
      <c r="A221" t="s">
        <v>201</v>
      </c>
      <c r="B221" t="s">
        <v>367</v>
      </c>
    </row>
    <row r="222" spans="1:2" x14ac:dyDescent="0.25">
      <c r="A222" t="s">
        <v>203</v>
      </c>
      <c r="B222" t="s">
        <v>260</v>
      </c>
    </row>
    <row r="223" spans="1:2" x14ac:dyDescent="0.25">
      <c r="A223" t="s">
        <v>203</v>
      </c>
      <c r="B223" t="s">
        <v>847</v>
      </c>
    </row>
    <row r="224" spans="1:2" x14ac:dyDescent="0.25">
      <c r="A224" t="s">
        <v>201</v>
      </c>
      <c r="B224" t="s">
        <v>848</v>
      </c>
    </row>
    <row r="225" spans="1:2" x14ac:dyDescent="0.25">
      <c r="A225" t="s">
        <v>221</v>
      </c>
      <c r="B225" t="s">
        <v>849</v>
      </c>
    </row>
    <row r="226" spans="1:2" x14ac:dyDescent="0.25">
      <c r="A226" t="s">
        <v>201</v>
      </c>
      <c r="B226" t="s">
        <v>850</v>
      </c>
    </row>
    <row r="227" spans="1:2" x14ac:dyDescent="0.25">
      <c r="A227" t="s">
        <v>208</v>
      </c>
      <c r="B227" t="s">
        <v>851</v>
      </c>
    </row>
    <row r="228" spans="1:2" x14ac:dyDescent="0.25">
      <c r="A228" t="s">
        <v>221</v>
      </c>
      <c r="B228" t="s">
        <v>841</v>
      </c>
    </row>
    <row r="229" spans="1:2" x14ac:dyDescent="0.25">
      <c r="A229" t="s">
        <v>203</v>
      </c>
      <c r="B229" t="s">
        <v>206</v>
      </c>
    </row>
    <row r="230" spans="1:2" x14ac:dyDescent="0.25">
      <c r="A230" t="s">
        <v>201</v>
      </c>
      <c r="B230" t="s">
        <v>309</v>
      </c>
    </row>
    <row r="231" spans="1:2" x14ac:dyDescent="0.25">
      <c r="A231" t="s">
        <v>203</v>
      </c>
      <c r="B231" t="s">
        <v>343</v>
      </c>
    </row>
    <row r="232" spans="1:2" x14ac:dyDescent="0.25">
      <c r="A232" t="s">
        <v>203</v>
      </c>
      <c r="B232" t="s">
        <v>213</v>
      </c>
    </row>
    <row r="233" spans="1:2" x14ac:dyDescent="0.25">
      <c r="A233" t="s">
        <v>203</v>
      </c>
      <c r="B233" t="s">
        <v>301</v>
      </c>
    </row>
    <row r="234" spans="1:2" x14ac:dyDescent="0.25">
      <c r="A234" t="s">
        <v>201</v>
      </c>
      <c r="B234" t="s">
        <v>309</v>
      </c>
    </row>
    <row r="235" spans="1:2" x14ac:dyDescent="0.25">
      <c r="A235" t="s">
        <v>203</v>
      </c>
      <c r="B235" t="s">
        <v>348</v>
      </c>
    </row>
    <row r="236" spans="1:2" x14ac:dyDescent="0.25">
      <c r="A236" t="s">
        <v>203</v>
      </c>
      <c r="B236" t="s">
        <v>96</v>
      </c>
    </row>
    <row r="237" spans="1:2" x14ac:dyDescent="0.25">
      <c r="A237" t="s">
        <v>201</v>
      </c>
      <c r="B237" t="s">
        <v>72</v>
      </c>
    </row>
    <row r="238" spans="1:2" x14ac:dyDescent="0.25">
      <c r="A238" t="s">
        <v>203</v>
      </c>
      <c r="B238" t="s">
        <v>852</v>
      </c>
    </row>
    <row r="239" spans="1:2" x14ac:dyDescent="0.25">
      <c r="A239" t="s">
        <v>201</v>
      </c>
      <c r="B239" t="s">
        <v>810</v>
      </c>
    </row>
    <row r="240" spans="1:2" x14ac:dyDescent="0.25">
      <c r="A240" t="s">
        <v>208</v>
      </c>
      <c r="B240" t="s">
        <v>853</v>
      </c>
    </row>
    <row r="241" spans="1:2" x14ac:dyDescent="0.25">
      <c r="A241" t="s">
        <v>201</v>
      </c>
      <c r="B241" t="s">
        <v>854</v>
      </c>
    </row>
    <row r="242" spans="1:2" x14ac:dyDescent="0.25">
      <c r="A242" t="s">
        <v>203</v>
      </c>
      <c r="B242" t="s">
        <v>855</v>
      </c>
    </row>
    <row r="243" spans="1:2" x14ac:dyDescent="0.25">
      <c r="A243" t="s">
        <v>201</v>
      </c>
      <c r="B243" t="s">
        <v>856</v>
      </c>
    </row>
    <row r="244" spans="1:2" x14ac:dyDescent="0.25">
      <c r="A244" t="s">
        <v>203</v>
      </c>
      <c r="B244" t="s">
        <v>248</v>
      </c>
    </row>
    <row r="245" spans="1:2" x14ac:dyDescent="0.25">
      <c r="A245" t="s">
        <v>201</v>
      </c>
      <c r="B245" t="s">
        <v>856</v>
      </c>
    </row>
    <row r="246" spans="1:2" x14ac:dyDescent="0.25">
      <c r="A246" t="s">
        <v>226</v>
      </c>
      <c r="B246" t="s">
        <v>857</v>
      </c>
    </row>
    <row r="247" spans="1:2" x14ac:dyDescent="0.25">
      <c r="A247" t="s">
        <v>201</v>
      </c>
      <c r="B247" t="s">
        <v>774</v>
      </c>
    </row>
    <row r="248" spans="1:2" x14ac:dyDescent="0.25">
      <c r="A248" t="s">
        <v>201</v>
      </c>
      <c r="B248" t="s">
        <v>414</v>
      </c>
    </row>
    <row r="249" spans="1:2" x14ac:dyDescent="0.25">
      <c r="A249" t="s">
        <v>201</v>
      </c>
      <c r="B249" t="s">
        <v>212</v>
      </c>
    </row>
    <row r="250" spans="1:2" x14ac:dyDescent="0.25">
      <c r="A250" t="s">
        <v>221</v>
      </c>
      <c r="B250" t="s">
        <v>858</v>
      </c>
    </row>
    <row r="251" spans="1:2" x14ac:dyDescent="0.25">
      <c r="A251" t="s">
        <v>203</v>
      </c>
      <c r="B251" t="s">
        <v>74</v>
      </c>
    </row>
    <row r="252" spans="1:2" x14ac:dyDescent="0.25">
      <c r="A252" t="s">
        <v>203</v>
      </c>
      <c r="B252" t="s">
        <v>184</v>
      </c>
    </row>
    <row r="253" spans="1:2" x14ac:dyDescent="0.25">
      <c r="A253" t="s">
        <v>221</v>
      </c>
      <c r="B253" t="s">
        <v>721</v>
      </c>
    </row>
    <row r="254" spans="1:2" x14ac:dyDescent="0.25">
      <c r="A254" t="s">
        <v>201</v>
      </c>
      <c r="B254" t="s">
        <v>309</v>
      </c>
    </row>
    <row r="255" spans="1:2" x14ac:dyDescent="0.25">
      <c r="A255" t="s">
        <v>203</v>
      </c>
      <c r="B255" t="s">
        <v>859</v>
      </c>
    </row>
    <row r="256" spans="1:2" x14ac:dyDescent="0.25">
      <c r="A256" t="s">
        <v>203</v>
      </c>
      <c r="B256" t="s">
        <v>387</v>
      </c>
    </row>
    <row r="257" spans="1:2" x14ac:dyDescent="0.25">
      <c r="A257" t="s">
        <v>201</v>
      </c>
      <c r="B257" t="s">
        <v>860</v>
      </c>
    </row>
    <row r="258" spans="1:2" x14ac:dyDescent="0.25">
      <c r="A258" t="s">
        <v>203</v>
      </c>
      <c r="B258" t="s">
        <v>74</v>
      </c>
    </row>
    <row r="259" spans="1:2" x14ac:dyDescent="0.25">
      <c r="A259" t="s">
        <v>201</v>
      </c>
      <c r="B259" t="s">
        <v>861</v>
      </c>
    </row>
    <row r="260" spans="1:2" x14ac:dyDescent="0.25">
      <c r="A260" t="s">
        <v>203</v>
      </c>
      <c r="B260" t="s">
        <v>862</v>
      </c>
    </row>
    <row r="261" spans="1:2" x14ac:dyDescent="0.25">
      <c r="A261" t="s">
        <v>201</v>
      </c>
      <c r="B261" t="s">
        <v>856</v>
      </c>
    </row>
    <row r="262" spans="1:2" x14ac:dyDescent="0.25">
      <c r="A262" t="s">
        <v>203</v>
      </c>
      <c r="B262" t="s">
        <v>278</v>
      </c>
    </row>
    <row r="263" spans="1:2" x14ac:dyDescent="0.25">
      <c r="A263" t="s">
        <v>203</v>
      </c>
      <c r="B263" t="s">
        <v>582</v>
      </c>
    </row>
    <row r="264" spans="1:2" x14ac:dyDescent="0.25">
      <c r="A264" t="s">
        <v>201</v>
      </c>
      <c r="B264" t="s">
        <v>393</v>
      </c>
    </row>
    <row r="265" spans="1:2" x14ac:dyDescent="0.25">
      <c r="A265" t="s">
        <v>201</v>
      </c>
      <c r="B265" t="s">
        <v>237</v>
      </c>
    </row>
    <row r="266" spans="1:2" x14ac:dyDescent="0.25">
      <c r="A266" t="s">
        <v>201</v>
      </c>
      <c r="B266" t="s">
        <v>863</v>
      </c>
    </row>
    <row r="267" spans="1:2" x14ac:dyDescent="0.25">
      <c r="A267" t="s">
        <v>203</v>
      </c>
      <c r="B267" t="s">
        <v>405</v>
      </c>
    </row>
    <row r="268" spans="1:2" x14ac:dyDescent="0.25">
      <c r="A268" t="s">
        <v>203</v>
      </c>
      <c r="B268" t="s">
        <v>206</v>
      </c>
    </row>
    <row r="269" spans="1:2" x14ac:dyDescent="0.25">
      <c r="A269" t="s">
        <v>203</v>
      </c>
      <c r="B269" t="s">
        <v>399</v>
      </c>
    </row>
    <row r="270" spans="1:2" x14ac:dyDescent="0.25">
      <c r="A270" t="s">
        <v>201</v>
      </c>
      <c r="B270" t="s">
        <v>619</v>
      </c>
    </row>
    <row r="271" spans="1:2" x14ac:dyDescent="0.25">
      <c r="A271" t="s">
        <v>208</v>
      </c>
      <c r="B271" t="s">
        <v>864</v>
      </c>
    </row>
    <row r="272" spans="1:2" x14ac:dyDescent="0.25">
      <c r="A272" t="s">
        <v>203</v>
      </c>
      <c r="B272" t="s">
        <v>865</v>
      </c>
    </row>
    <row r="273" spans="1:2" x14ac:dyDescent="0.25">
      <c r="A273" t="s">
        <v>203</v>
      </c>
      <c r="B273" t="s">
        <v>46</v>
      </c>
    </row>
    <row r="274" spans="1:2" x14ac:dyDescent="0.25">
      <c r="A274" t="s">
        <v>203</v>
      </c>
      <c r="B274" t="s">
        <v>866</v>
      </c>
    </row>
    <row r="275" spans="1:2" x14ac:dyDescent="0.25">
      <c r="A275" t="s">
        <v>201</v>
      </c>
      <c r="B275" t="s">
        <v>256</v>
      </c>
    </row>
    <row r="276" spans="1:2" x14ac:dyDescent="0.25">
      <c r="A276" t="s">
        <v>203</v>
      </c>
      <c r="B276" t="s">
        <v>867</v>
      </c>
    </row>
    <row r="277" spans="1:2" x14ac:dyDescent="0.25">
      <c r="A277" t="s">
        <v>203</v>
      </c>
      <c r="B277" t="s">
        <v>53</v>
      </c>
    </row>
    <row r="278" spans="1:2" x14ac:dyDescent="0.25">
      <c r="A278" t="s">
        <v>203</v>
      </c>
      <c r="B278" t="s">
        <v>868</v>
      </c>
    </row>
    <row r="279" spans="1:2" x14ac:dyDescent="0.25">
      <c r="A279" t="s">
        <v>201</v>
      </c>
      <c r="B279" t="s">
        <v>869</v>
      </c>
    </row>
    <row r="280" spans="1:2" x14ac:dyDescent="0.25">
      <c r="A280" t="s">
        <v>203</v>
      </c>
      <c r="B280" t="s">
        <v>870</v>
      </c>
    </row>
    <row r="281" spans="1:2" x14ac:dyDescent="0.25">
      <c r="A281" t="s">
        <v>203</v>
      </c>
      <c r="B281" t="s">
        <v>278</v>
      </c>
    </row>
    <row r="282" spans="1:2" x14ac:dyDescent="0.25">
      <c r="A282" t="s">
        <v>201</v>
      </c>
      <c r="B282" t="s">
        <v>871</v>
      </c>
    </row>
    <row r="283" spans="1:2" x14ac:dyDescent="0.25">
      <c r="A283" t="s">
        <v>203</v>
      </c>
      <c r="B283" t="s">
        <v>278</v>
      </c>
    </row>
    <row r="284" spans="1:2" x14ac:dyDescent="0.25">
      <c r="A284" t="s">
        <v>201</v>
      </c>
      <c r="B284" t="s">
        <v>872</v>
      </c>
    </row>
    <row r="285" spans="1:2" x14ac:dyDescent="0.25">
      <c r="A285" t="s">
        <v>208</v>
      </c>
      <c r="B285" t="s">
        <v>873</v>
      </c>
    </row>
    <row r="286" spans="1:2" x14ac:dyDescent="0.25">
      <c r="A286" t="s">
        <v>201</v>
      </c>
      <c r="B286" t="s">
        <v>725</v>
      </c>
    </row>
    <row r="287" spans="1:2" x14ac:dyDescent="0.25">
      <c r="A287" t="s">
        <v>203</v>
      </c>
      <c r="B287" t="s">
        <v>856</v>
      </c>
    </row>
    <row r="288" spans="1:2" x14ac:dyDescent="0.25">
      <c r="A288" t="s">
        <v>201</v>
      </c>
      <c r="B288" t="s">
        <v>256</v>
      </c>
    </row>
    <row r="289" spans="1:2" x14ac:dyDescent="0.25">
      <c r="A289" t="s">
        <v>203</v>
      </c>
      <c r="B289" t="s">
        <v>874</v>
      </c>
    </row>
    <row r="290" spans="1:2" x14ac:dyDescent="0.25">
      <c r="A290" t="s">
        <v>203</v>
      </c>
      <c r="B290" t="s">
        <v>278</v>
      </c>
    </row>
    <row r="291" spans="1:2" x14ac:dyDescent="0.25">
      <c r="A291" t="s">
        <v>201</v>
      </c>
      <c r="B291" t="s">
        <v>875</v>
      </c>
    </row>
    <row r="292" spans="1:2" x14ac:dyDescent="0.25">
      <c r="A292" t="s">
        <v>201</v>
      </c>
      <c r="B292" t="s">
        <v>876</v>
      </c>
    </row>
    <row r="293" spans="1:2" x14ac:dyDescent="0.25">
      <c r="A293" t="s">
        <v>226</v>
      </c>
      <c r="B293" t="s">
        <v>877</v>
      </c>
    </row>
    <row r="294" spans="1:2" x14ac:dyDescent="0.25">
      <c r="A294" t="s">
        <v>203</v>
      </c>
      <c r="B294" t="s">
        <v>74</v>
      </c>
    </row>
    <row r="295" spans="1:2" x14ac:dyDescent="0.25">
      <c r="A295" t="s">
        <v>201</v>
      </c>
      <c r="B295" t="s">
        <v>878</v>
      </c>
    </row>
    <row r="296" spans="1:2" x14ac:dyDescent="0.25">
      <c r="A296" t="s">
        <v>203</v>
      </c>
      <c r="B296" t="s">
        <v>214</v>
      </c>
    </row>
    <row r="297" spans="1:2" x14ac:dyDescent="0.25">
      <c r="A297" t="s">
        <v>201</v>
      </c>
      <c r="B297" t="s">
        <v>398</v>
      </c>
    </row>
    <row r="298" spans="1:2" x14ac:dyDescent="0.25">
      <c r="A298" t="s">
        <v>203</v>
      </c>
      <c r="B298" t="s">
        <v>582</v>
      </c>
    </row>
    <row r="299" spans="1:2" x14ac:dyDescent="0.25">
      <c r="A299" t="s">
        <v>221</v>
      </c>
      <c r="B299" t="s">
        <v>879</v>
      </c>
    </row>
    <row r="300" spans="1:2" x14ac:dyDescent="0.25">
      <c r="A300" t="s">
        <v>203</v>
      </c>
      <c r="B300" t="s">
        <v>53</v>
      </c>
    </row>
    <row r="301" spans="1:2" x14ac:dyDescent="0.25">
      <c r="A301" t="s">
        <v>203</v>
      </c>
      <c r="B301" t="s">
        <v>184</v>
      </c>
    </row>
    <row r="302" spans="1:2" x14ac:dyDescent="0.25">
      <c r="A302" t="s">
        <v>203</v>
      </c>
      <c r="B302" t="s">
        <v>214</v>
      </c>
    </row>
    <row r="303" spans="1:2" x14ac:dyDescent="0.25">
      <c r="A303" t="s">
        <v>221</v>
      </c>
      <c r="B303" t="s">
        <v>880</v>
      </c>
    </row>
    <row r="304" spans="1:2" x14ac:dyDescent="0.25">
      <c r="A304" t="s">
        <v>203</v>
      </c>
      <c r="B304" t="s">
        <v>881</v>
      </c>
    </row>
    <row r="305" spans="1:2" x14ac:dyDescent="0.25">
      <c r="A305" t="s">
        <v>201</v>
      </c>
      <c r="B305" t="s">
        <v>882</v>
      </c>
    </row>
    <row r="306" spans="1:2" x14ac:dyDescent="0.25">
      <c r="A306" t="s">
        <v>203</v>
      </c>
      <c r="B306" t="s">
        <v>74</v>
      </c>
    </row>
    <row r="307" spans="1:2" x14ac:dyDescent="0.25">
      <c r="A307" t="s">
        <v>203</v>
      </c>
      <c r="B307" t="s">
        <v>883</v>
      </c>
    </row>
    <row r="308" spans="1:2" x14ac:dyDescent="0.25">
      <c r="A308" t="s">
        <v>203</v>
      </c>
      <c r="B308" t="s">
        <v>198</v>
      </c>
    </row>
    <row r="309" spans="1:2" x14ac:dyDescent="0.25">
      <c r="A309" t="s">
        <v>201</v>
      </c>
      <c r="B309" t="s">
        <v>202</v>
      </c>
    </row>
    <row r="310" spans="1:2" x14ac:dyDescent="0.25">
      <c r="A310" t="s">
        <v>203</v>
      </c>
      <c r="B310" t="s">
        <v>884</v>
      </c>
    </row>
    <row r="311" spans="1:2" x14ac:dyDescent="0.25">
      <c r="A311" t="s">
        <v>201</v>
      </c>
      <c r="B311" t="s">
        <v>661</v>
      </c>
    </row>
    <row r="312" spans="1:2" x14ac:dyDescent="0.25">
      <c r="A312" t="s">
        <v>203</v>
      </c>
      <c r="B312" t="s">
        <v>218</v>
      </c>
    </row>
    <row r="313" spans="1:2" x14ac:dyDescent="0.25">
      <c r="A313" t="s">
        <v>203</v>
      </c>
      <c r="B313" t="s">
        <v>214</v>
      </c>
    </row>
    <row r="314" spans="1:2" x14ac:dyDescent="0.25">
      <c r="A314" t="s">
        <v>203</v>
      </c>
      <c r="B314" t="s">
        <v>885</v>
      </c>
    </row>
    <row r="315" spans="1:2" x14ac:dyDescent="0.25">
      <c r="A315" t="s">
        <v>201</v>
      </c>
      <c r="B315" t="s">
        <v>229</v>
      </c>
    </row>
    <row r="316" spans="1:2" x14ac:dyDescent="0.25">
      <c r="A316" t="s">
        <v>203</v>
      </c>
      <c r="B316" t="s">
        <v>663</v>
      </c>
    </row>
    <row r="317" spans="1:2" x14ac:dyDescent="0.25">
      <c r="A317" t="s">
        <v>201</v>
      </c>
      <c r="B317" t="s">
        <v>764</v>
      </c>
    </row>
    <row r="318" spans="1:2" x14ac:dyDescent="0.25">
      <c r="A318" t="s">
        <v>203</v>
      </c>
      <c r="B318" t="s">
        <v>886</v>
      </c>
    </row>
    <row r="319" spans="1:2" x14ac:dyDescent="0.25">
      <c r="A319" t="s">
        <v>201</v>
      </c>
      <c r="B319" t="s">
        <v>887</v>
      </c>
    </row>
    <row r="320" spans="1:2" x14ac:dyDescent="0.25">
      <c r="A320" t="s">
        <v>201</v>
      </c>
      <c r="B320" t="s">
        <v>212</v>
      </c>
    </row>
    <row r="321" spans="1:2" x14ac:dyDescent="0.25">
      <c r="A321" t="s">
        <v>226</v>
      </c>
      <c r="B321" t="s">
        <v>888</v>
      </c>
    </row>
    <row r="322" spans="1:2" x14ac:dyDescent="0.25">
      <c r="A322" t="s">
        <v>203</v>
      </c>
      <c r="B322" t="s">
        <v>248</v>
      </c>
    </row>
    <row r="323" spans="1:2" x14ac:dyDescent="0.25">
      <c r="A323" t="s">
        <v>208</v>
      </c>
      <c r="B323" t="s">
        <v>889</v>
      </c>
    </row>
    <row r="324" spans="1:2" x14ac:dyDescent="0.25">
      <c r="A324" t="s">
        <v>203</v>
      </c>
      <c r="B324" t="s">
        <v>234</v>
      </c>
    </row>
    <row r="325" spans="1:2" x14ac:dyDescent="0.25">
      <c r="A325" t="s">
        <v>203</v>
      </c>
      <c r="B325" t="s">
        <v>890</v>
      </c>
    </row>
    <row r="326" spans="1:2" x14ac:dyDescent="0.25">
      <c r="A326" t="s">
        <v>201</v>
      </c>
      <c r="B326" t="s">
        <v>398</v>
      </c>
    </row>
    <row r="327" spans="1:2" x14ac:dyDescent="0.25">
      <c r="A327" t="s">
        <v>201</v>
      </c>
      <c r="B327" t="s">
        <v>891</v>
      </c>
    </row>
    <row r="328" spans="1:2" x14ac:dyDescent="0.25">
      <c r="A328" t="s">
        <v>203</v>
      </c>
      <c r="B328" t="s">
        <v>827</v>
      </c>
    </row>
    <row r="329" spans="1:2" x14ac:dyDescent="0.25">
      <c r="A329" t="s">
        <v>203</v>
      </c>
      <c r="B329" t="s">
        <v>213</v>
      </c>
    </row>
    <row r="330" spans="1:2" x14ac:dyDescent="0.25">
      <c r="A330" t="s">
        <v>201</v>
      </c>
      <c r="B330" t="s">
        <v>582</v>
      </c>
    </row>
    <row r="331" spans="1:2" x14ac:dyDescent="0.25">
      <c r="A331" t="s">
        <v>226</v>
      </c>
      <c r="B331" t="s">
        <v>278</v>
      </c>
    </row>
    <row r="332" spans="1:2" x14ac:dyDescent="0.25">
      <c r="A332" t="s">
        <v>203</v>
      </c>
      <c r="B332" t="s">
        <v>198</v>
      </c>
    </row>
    <row r="333" spans="1:2" x14ac:dyDescent="0.25">
      <c r="A333" t="s">
        <v>201</v>
      </c>
      <c r="B333" t="s">
        <v>666</v>
      </c>
    </row>
    <row r="334" spans="1:2" x14ac:dyDescent="0.25">
      <c r="A334" t="s">
        <v>201</v>
      </c>
      <c r="B334" t="s">
        <v>892</v>
      </c>
    </row>
    <row r="335" spans="1:2" x14ac:dyDescent="0.25">
      <c r="A335" t="s">
        <v>203</v>
      </c>
      <c r="B335" t="s">
        <v>893</v>
      </c>
    </row>
    <row r="336" spans="1:2" x14ac:dyDescent="0.25">
      <c r="A336" t="s">
        <v>203</v>
      </c>
      <c r="B336" t="s">
        <v>278</v>
      </c>
    </row>
    <row r="337" spans="1:2" x14ac:dyDescent="0.25">
      <c r="A337" t="s">
        <v>203</v>
      </c>
      <c r="B337" t="s">
        <v>894</v>
      </c>
    </row>
    <row r="338" spans="1:2" x14ac:dyDescent="0.25">
      <c r="A338" t="s">
        <v>208</v>
      </c>
      <c r="B338" t="s">
        <v>82</v>
      </c>
    </row>
    <row r="339" spans="1:2" x14ac:dyDescent="0.25">
      <c r="A339" t="s">
        <v>201</v>
      </c>
      <c r="B339" t="s">
        <v>739</v>
      </c>
    </row>
    <row r="340" spans="1:2" x14ac:dyDescent="0.25">
      <c r="A340" t="s">
        <v>201</v>
      </c>
      <c r="B340" t="s">
        <v>309</v>
      </c>
    </row>
    <row r="341" spans="1:2" x14ac:dyDescent="0.25">
      <c r="A341" t="s">
        <v>208</v>
      </c>
      <c r="B341" t="s">
        <v>895</v>
      </c>
    </row>
    <row r="342" spans="1:2" x14ac:dyDescent="0.25">
      <c r="A342" t="s">
        <v>203</v>
      </c>
      <c r="B342" t="s">
        <v>82</v>
      </c>
    </row>
    <row r="343" spans="1:2" x14ac:dyDescent="0.25">
      <c r="A343" t="s">
        <v>201</v>
      </c>
      <c r="B343" t="s">
        <v>202</v>
      </c>
    </row>
    <row r="344" spans="1:2" x14ac:dyDescent="0.25">
      <c r="A344" t="s">
        <v>203</v>
      </c>
      <c r="B344" t="s">
        <v>212</v>
      </c>
    </row>
    <row r="345" spans="1:2" x14ac:dyDescent="0.25">
      <c r="A345" t="s">
        <v>208</v>
      </c>
      <c r="B345" t="s">
        <v>896</v>
      </c>
    </row>
    <row r="346" spans="1:2" x14ac:dyDescent="0.25">
      <c r="A346" t="s">
        <v>203</v>
      </c>
      <c r="B346" t="s">
        <v>897</v>
      </c>
    </row>
    <row r="347" spans="1:2" x14ac:dyDescent="0.25">
      <c r="A347" t="s">
        <v>203</v>
      </c>
      <c r="B347" t="s">
        <v>206</v>
      </c>
    </row>
    <row r="348" spans="1:2" x14ac:dyDescent="0.25">
      <c r="A348" t="s">
        <v>221</v>
      </c>
      <c r="B348" t="s">
        <v>398</v>
      </c>
    </row>
    <row r="349" spans="1:2" x14ac:dyDescent="0.25">
      <c r="A349" t="s">
        <v>203</v>
      </c>
      <c r="B349" t="s">
        <v>198</v>
      </c>
    </row>
    <row r="350" spans="1:2" x14ac:dyDescent="0.25">
      <c r="A350" t="s">
        <v>201</v>
      </c>
      <c r="B350" t="s">
        <v>898</v>
      </c>
    </row>
    <row r="351" spans="1:2" x14ac:dyDescent="0.25">
      <c r="A351" t="s">
        <v>201</v>
      </c>
      <c r="B351" t="s">
        <v>212</v>
      </c>
    </row>
    <row r="352" spans="1:2" x14ac:dyDescent="0.25">
      <c r="A352" t="s">
        <v>201</v>
      </c>
      <c r="B352" t="s">
        <v>263</v>
      </c>
    </row>
    <row r="353" spans="1:2" x14ac:dyDescent="0.25">
      <c r="A353" t="s">
        <v>203</v>
      </c>
      <c r="B353" t="s">
        <v>331</v>
      </c>
    </row>
    <row r="354" spans="1:2" x14ac:dyDescent="0.25">
      <c r="A354" t="s">
        <v>203</v>
      </c>
      <c r="B354" t="s">
        <v>213</v>
      </c>
    </row>
    <row r="355" spans="1:2" x14ac:dyDescent="0.25">
      <c r="A355" t="s">
        <v>203</v>
      </c>
      <c r="B355" t="s">
        <v>198</v>
      </c>
    </row>
    <row r="356" spans="1:2" x14ac:dyDescent="0.25">
      <c r="A356" t="s">
        <v>201</v>
      </c>
      <c r="B356" t="s">
        <v>263</v>
      </c>
    </row>
    <row r="357" spans="1:2" x14ac:dyDescent="0.25">
      <c r="A357" t="s">
        <v>203</v>
      </c>
      <c r="B357" t="s">
        <v>542</v>
      </c>
    </row>
    <row r="358" spans="1:2" x14ac:dyDescent="0.25">
      <c r="A358" t="s">
        <v>203</v>
      </c>
      <c r="B358" t="s">
        <v>582</v>
      </c>
    </row>
    <row r="359" spans="1:2" x14ac:dyDescent="0.25">
      <c r="A359" t="s">
        <v>201</v>
      </c>
      <c r="B359" t="s">
        <v>582</v>
      </c>
    </row>
    <row r="360" spans="1:2" x14ac:dyDescent="0.25">
      <c r="A360" t="s">
        <v>201</v>
      </c>
      <c r="B360" t="s">
        <v>899</v>
      </c>
    </row>
    <row r="361" spans="1:2" x14ac:dyDescent="0.25">
      <c r="A361" t="s">
        <v>201</v>
      </c>
      <c r="B361" t="s">
        <v>256</v>
      </c>
    </row>
    <row r="362" spans="1:2" x14ac:dyDescent="0.25">
      <c r="A362" t="s">
        <v>201</v>
      </c>
      <c r="B362" t="s">
        <v>900</v>
      </c>
    </row>
    <row r="363" spans="1:2" x14ac:dyDescent="0.25">
      <c r="A363" t="s">
        <v>203</v>
      </c>
      <c r="B363" t="s">
        <v>46</v>
      </c>
    </row>
    <row r="364" spans="1:2" x14ac:dyDescent="0.25">
      <c r="A364" t="s">
        <v>203</v>
      </c>
      <c r="B364" t="s">
        <v>234</v>
      </c>
    </row>
    <row r="365" spans="1:2" x14ac:dyDescent="0.25">
      <c r="A365" t="s">
        <v>203</v>
      </c>
      <c r="B365" t="s">
        <v>278</v>
      </c>
    </row>
    <row r="366" spans="1:2" x14ac:dyDescent="0.25">
      <c r="A366" t="s">
        <v>201</v>
      </c>
      <c r="B366" t="s">
        <v>901</v>
      </c>
    </row>
    <row r="367" spans="1:2" x14ac:dyDescent="0.25">
      <c r="A367" t="s">
        <v>203</v>
      </c>
      <c r="B367" t="s">
        <v>902</v>
      </c>
    </row>
    <row r="368" spans="1:2" x14ac:dyDescent="0.25">
      <c r="A368" t="s">
        <v>201</v>
      </c>
      <c r="B368" t="s">
        <v>212</v>
      </c>
    </row>
    <row r="369" spans="1:2" x14ac:dyDescent="0.25">
      <c r="A369" t="s">
        <v>201</v>
      </c>
      <c r="B369" t="s">
        <v>903</v>
      </c>
    </row>
    <row r="370" spans="1:2" x14ac:dyDescent="0.25">
      <c r="A370" t="s">
        <v>203</v>
      </c>
      <c r="B370" t="s">
        <v>904</v>
      </c>
    </row>
    <row r="371" spans="1:2" x14ac:dyDescent="0.25">
      <c r="A371" t="s">
        <v>201</v>
      </c>
      <c r="B371" t="s">
        <v>331</v>
      </c>
    </row>
    <row r="372" spans="1:2" x14ac:dyDescent="0.25">
      <c r="A372" t="s">
        <v>208</v>
      </c>
      <c r="B372" t="s">
        <v>905</v>
      </c>
    </row>
    <row r="373" spans="1:2" x14ac:dyDescent="0.25">
      <c r="A373" t="s">
        <v>203</v>
      </c>
      <c r="B373" t="s">
        <v>906</v>
      </c>
    </row>
    <row r="374" spans="1:2" x14ac:dyDescent="0.25">
      <c r="A374" t="s">
        <v>201</v>
      </c>
      <c r="B374" t="s">
        <v>907</v>
      </c>
    </row>
    <row r="375" spans="1:2" x14ac:dyDescent="0.25">
      <c r="A375" t="s">
        <v>203</v>
      </c>
      <c r="B375" t="s">
        <v>908</v>
      </c>
    </row>
    <row r="376" spans="1:2" x14ac:dyDescent="0.25">
      <c r="A376" t="s">
        <v>201</v>
      </c>
      <c r="B376" t="s">
        <v>909</v>
      </c>
    </row>
    <row r="377" spans="1:2" x14ac:dyDescent="0.25">
      <c r="A377" t="s">
        <v>203</v>
      </c>
      <c r="B377" t="s">
        <v>910</v>
      </c>
    </row>
    <row r="378" spans="1:2" x14ac:dyDescent="0.25">
      <c r="A378" t="s">
        <v>203</v>
      </c>
      <c r="B378" t="s">
        <v>911</v>
      </c>
    </row>
    <row r="379" spans="1:2" x14ac:dyDescent="0.25">
      <c r="A379" t="s">
        <v>208</v>
      </c>
      <c r="B379" t="s">
        <v>53</v>
      </c>
    </row>
    <row r="380" spans="1:2" x14ac:dyDescent="0.25">
      <c r="A380" t="s">
        <v>201</v>
      </c>
      <c r="B380" t="s">
        <v>912</v>
      </c>
    </row>
    <row r="381" spans="1:2" x14ac:dyDescent="0.25">
      <c r="A381" t="s">
        <v>203</v>
      </c>
      <c r="B381" t="s">
        <v>278</v>
      </c>
    </row>
    <row r="382" spans="1:2" x14ac:dyDescent="0.25">
      <c r="A382" t="s">
        <v>203</v>
      </c>
      <c r="B382" t="s">
        <v>74</v>
      </c>
    </row>
    <row r="383" spans="1:2" x14ac:dyDescent="0.25">
      <c r="A383" t="s">
        <v>203</v>
      </c>
      <c r="B383" t="s">
        <v>387</v>
      </c>
    </row>
    <row r="384" spans="1:2" x14ac:dyDescent="0.25">
      <c r="A384" t="s">
        <v>201</v>
      </c>
      <c r="B384" t="s">
        <v>913</v>
      </c>
    </row>
    <row r="385" spans="1:2" x14ac:dyDescent="0.25">
      <c r="A385" t="s">
        <v>208</v>
      </c>
      <c r="B385" t="s">
        <v>914</v>
      </c>
    </row>
    <row r="386" spans="1:2" x14ac:dyDescent="0.25">
      <c r="A386" t="s">
        <v>226</v>
      </c>
      <c r="B386" t="s">
        <v>915</v>
      </c>
    </row>
    <row r="387" spans="1:2" x14ac:dyDescent="0.25">
      <c r="A387" t="s">
        <v>203</v>
      </c>
      <c r="B387" t="s">
        <v>916</v>
      </c>
    </row>
    <row r="388" spans="1:2" x14ac:dyDescent="0.25">
      <c r="A388" t="s">
        <v>201</v>
      </c>
      <c r="B388" t="s">
        <v>786</v>
      </c>
    </row>
    <row r="389" spans="1:2" x14ac:dyDescent="0.25">
      <c r="A389" t="s">
        <v>201</v>
      </c>
      <c r="B389" t="s">
        <v>917</v>
      </c>
    </row>
    <row r="390" spans="1:2" x14ac:dyDescent="0.25">
      <c r="A390" t="s">
        <v>201</v>
      </c>
      <c r="B390" t="s">
        <v>251</v>
      </c>
    </row>
    <row r="391" spans="1:2" x14ac:dyDescent="0.25">
      <c r="A391" t="s">
        <v>201</v>
      </c>
      <c r="B391" t="s">
        <v>918</v>
      </c>
    </row>
    <row r="392" spans="1:2" x14ac:dyDescent="0.25">
      <c r="A392" t="s">
        <v>201</v>
      </c>
      <c r="B392" t="s">
        <v>919</v>
      </c>
    </row>
    <row r="393" spans="1:2" x14ac:dyDescent="0.25">
      <c r="A393" t="s">
        <v>201</v>
      </c>
      <c r="B393" t="s">
        <v>920</v>
      </c>
    </row>
    <row r="394" spans="1:2" x14ac:dyDescent="0.25">
      <c r="A394" t="s">
        <v>203</v>
      </c>
      <c r="B394" t="s">
        <v>53</v>
      </c>
    </row>
    <row r="395" spans="1:2" x14ac:dyDescent="0.25">
      <c r="A395" t="s">
        <v>201</v>
      </c>
      <c r="B395" t="s">
        <v>921</v>
      </c>
    </row>
    <row r="396" spans="1:2" x14ac:dyDescent="0.25">
      <c r="A396" t="s">
        <v>203</v>
      </c>
      <c r="B396" t="s">
        <v>922</v>
      </c>
    </row>
    <row r="397" spans="1:2" x14ac:dyDescent="0.25">
      <c r="A397" t="s">
        <v>201</v>
      </c>
      <c r="B397" t="s">
        <v>229</v>
      </c>
    </row>
    <row r="398" spans="1:2" x14ac:dyDescent="0.25">
      <c r="A398" t="s">
        <v>203</v>
      </c>
      <c r="B398" t="s">
        <v>198</v>
      </c>
    </row>
    <row r="399" spans="1:2" x14ac:dyDescent="0.25">
      <c r="A399" t="s">
        <v>203</v>
      </c>
      <c r="B399" t="s">
        <v>923</v>
      </c>
    </row>
    <row r="400" spans="1:2" x14ac:dyDescent="0.25">
      <c r="A400" t="s">
        <v>203</v>
      </c>
      <c r="B400" t="s">
        <v>198</v>
      </c>
    </row>
    <row r="401" spans="1:2" x14ac:dyDescent="0.25">
      <c r="A401" t="s">
        <v>208</v>
      </c>
      <c r="B401" t="s">
        <v>46</v>
      </c>
    </row>
    <row r="402" spans="1:2" x14ac:dyDescent="0.25">
      <c r="A402" t="s">
        <v>208</v>
      </c>
      <c r="B402" t="s">
        <v>74</v>
      </c>
    </row>
    <row r="403" spans="1:2" x14ac:dyDescent="0.25">
      <c r="A403" t="s">
        <v>203</v>
      </c>
      <c r="B403" t="s">
        <v>918</v>
      </c>
    </row>
    <row r="404" spans="1:2" x14ac:dyDescent="0.25">
      <c r="A404" t="s">
        <v>201</v>
      </c>
      <c r="B404" t="s">
        <v>925</v>
      </c>
    </row>
    <row r="405" spans="1:2" x14ac:dyDescent="0.25">
      <c r="A405" t="s">
        <v>201</v>
      </c>
      <c r="B405" t="s">
        <v>926</v>
      </c>
    </row>
    <row r="406" spans="1:2" x14ac:dyDescent="0.25">
      <c r="A406" t="s">
        <v>201</v>
      </c>
      <c r="B406" t="s">
        <v>582</v>
      </c>
    </row>
    <row r="407" spans="1:2" x14ac:dyDescent="0.25">
      <c r="A407" t="s">
        <v>203</v>
      </c>
      <c r="B407" t="s">
        <v>152</v>
      </c>
    </row>
    <row r="408" spans="1:2" x14ac:dyDescent="0.25">
      <c r="A408" t="s">
        <v>203</v>
      </c>
      <c r="B408" t="s">
        <v>927</v>
      </c>
    </row>
    <row r="409" spans="1:2" x14ac:dyDescent="0.25">
      <c r="A409" t="s">
        <v>203</v>
      </c>
      <c r="B409" t="s">
        <v>212</v>
      </c>
    </row>
    <row r="410" spans="1:2" x14ac:dyDescent="0.25">
      <c r="A410" t="s">
        <v>201</v>
      </c>
      <c r="B410" t="s">
        <v>928</v>
      </c>
    </row>
    <row r="411" spans="1:2" x14ac:dyDescent="0.25">
      <c r="A411" t="s">
        <v>201</v>
      </c>
      <c r="B411" t="s">
        <v>929</v>
      </c>
    </row>
    <row r="412" spans="1:2" x14ac:dyDescent="0.25">
      <c r="A412" t="s">
        <v>201</v>
      </c>
      <c r="B412" t="s">
        <v>930</v>
      </c>
    </row>
    <row r="413" spans="1:2" x14ac:dyDescent="0.25">
      <c r="A413" t="s">
        <v>201</v>
      </c>
      <c r="B413" t="s">
        <v>78</v>
      </c>
    </row>
    <row r="414" spans="1:2" x14ac:dyDescent="0.25">
      <c r="A414" t="s">
        <v>226</v>
      </c>
      <c r="B414" t="s">
        <v>931</v>
      </c>
    </row>
    <row r="415" spans="1:2" x14ac:dyDescent="0.25">
      <c r="A415" t="s">
        <v>221</v>
      </c>
      <c r="B415" t="s">
        <v>932</v>
      </c>
    </row>
    <row r="416" spans="1:2" x14ac:dyDescent="0.25">
      <c r="A416" t="s">
        <v>203</v>
      </c>
      <c r="B416" t="s">
        <v>278</v>
      </c>
    </row>
    <row r="417" spans="1:2" x14ac:dyDescent="0.25">
      <c r="A417" t="s">
        <v>221</v>
      </c>
      <c r="B417" t="s">
        <v>752</v>
      </c>
    </row>
    <row r="418" spans="1:2" x14ac:dyDescent="0.25">
      <c r="A418" t="s">
        <v>203</v>
      </c>
      <c r="B418" t="s">
        <v>933</v>
      </c>
    </row>
    <row r="419" spans="1:2" x14ac:dyDescent="0.25">
      <c r="A419" t="s">
        <v>201</v>
      </c>
      <c r="B419" t="s">
        <v>934</v>
      </c>
    </row>
    <row r="420" spans="1:2" x14ac:dyDescent="0.25">
      <c r="A420" t="s">
        <v>203</v>
      </c>
      <c r="B420" t="s">
        <v>935</v>
      </c>
    </row>
    <row r="421" spans="1:2" x14ac:dyDescent="0.25">
      <c r="A421" t="s">
        <v>201</v>
      </c>
      <c r="B421" t="s">
        <v>936</v>
      </c>
    </row>
    <row r="422" spans="1:2" x14ac:dyDescent="0.25">
      <c r="A422" t="s">
        <v>203</v>
      </c>
      <c r="B422" t="s">
        <v>937</v>
      </c>
    </row>
    <row r="423" spans="1:2" x14ac:dyDescent="0.25">
      <c r="A423" t="s">
        <v>201</v>
      </c>
      <c r="B423" t="s">
        <v>938</v>
      </c>
    </row>
    <row r="424" spans="1:2" x14ac:dyDescent="0.25">
      <c r="A424" t="s">
        <v>201</v>
      </c>
      <c r="B424" t="s">
        <v>732</v>
      </c>
    </row>
    <row r="425" spans="1:2" x14ac:dyDescent="0.25">
      <c r="A425" t="s">
        <v>203</v>
      </c>
      <c r="B425" t="s">
        <v>939</v>
      </c>
    </row>
    <row r="426" spans="1:2" x14ac:dyDescent="0.25">
      <c r="A426" t="s">
        <v>201</v>
      </c>
      <c r="B426" t="s">
        <v>940</v>
      </c>
    </row>
    <row r="427" spans="1:2" x14ac:dyDescent="0.25">
      <c r="A427" t="s">
        <v>203</v>
      </c>
      <c r="B427" t="s">
        <v>670</v>
      </c>
    </row>
    <row r="428" spans="1:2" x14ac:dyDescent="0.25">
      <c r="A428" t="s">
        <v>203</v>
      </c>
      <c r="B428" t="s">
        <v>941</v>
      </c>
    </row>
    <row r="429" spans="1:2" x14ac:dyDescent="0.25">
      <c r="A429" t="s">
        <v>201</v>
      </c>
      <c r="B429" t="s">
        <v>942</v>
      </c>
    </row>
    <row r="430" spans="1:2" x14ac:dyDescent="0.25">
      <c r="A430" t="s">
        <v>201</v>
      </c>
      <c r="B430" t="s">
        <v>912</v>
      </c>
    </row>
    <row r="431" spans="1:2" x14ac:dyDescent="0.25">
      <c r="A431" t="s">
        <v>203</v>
      </c>
      <c r="B431" t="s">
        <v>214</v>
      </c>
    </row>
    <row r="432" spans="1:2" x14ac:dyDescent="0.25">
      <c r="A432" t="s">
        <v>201</v>
      </c>
      <c r="B432" t="s">
        <v>943</v>
      </c>
    </row>
    <row r="433" spans="1:2" x14ac:dyDescent="0.25">
      <c r="A433" t="s">
        <v>203</v>
      </c>
      <c r="B433" t="s">
        <v>335</v>
      </c>
    </row>
    <row r="434" spans="1:2" x14ac:dyDescent="0.25">
      <c r="A434" t="s">
        <v>203</v>
      </c>
      <c r="B434" t="s">
        <v>944</v>
      </c>
    </row>
    <row r="435" spans="1:2" x14ac:dyDescent="0.25">
      <c r="A435" t="s">
        <v>201</v>
      </c>
      <c r="B435" t="s">
        <v>945</v>
      </c>
    </row>
    <row r="436" spans="1:2" x14ac:dyDescent="0.25">
      <c r="A436" t="s">
        <v>203</v>
      </c>
      <c r="B436" t="s">
        <v>946</v>
      </c>
    </row>
    <row r="437" spans="1:2" x14ac:dyDescent="0.25">
      <c r="A437" t="s">
        <v>203</v>
      </c>
      <c r="B437" t="s">
        <v>947</v>
      </c>
    </row>
    <row r="438" spans="1:2" x14ac:dyDescent="0.25">
      <c r="A438" t="s">
        <v>208</v>
      </c>
      <c r="B438" t="s">
        <v>948</v>
      </c>
    </row>
    <row r="439" spans="1:2" x14ac:dyDescent="0.25">
      <c r="A439" t="s">
        <v>201</v>
      </c>
      <c r="B439" t="s">
        <v>949</v>
      </c>
    </row>
    <row r="440" spans="1:2" x14ac:dyDescent="0.25">
      <c r="A440" t="s">
        <v>201</v>
      </c>
      <c r="B440" t="s">
        <v>950</v>
      </c>
    </row>
    <row r="441" spans="1:2" x14ac:dyDescent="0.25">
      <c r="A441" t="s">
        <v>203</v>
      </c>
      <c r="B441" t="s">
        <v>951</v>
      </c>
    </row>
    <row r="442" spans="1:2" x14ac:dyDescent="0.25">
      <c r="A442" t="s">
        <v>208</v>
      </c>
      <c r="B442" t="s">
        <v>952</v>
      </c>
    </row>
    <row r="443" spans="1:2" x14ac:dyDescent="0.25">
      <c r="A443" t="s">
        <v>203</v>
      </c>
      <c r="B443" t="s">
        <v>206</v>
      </c>
    </row>
    <row r="444" spans="1:2" x14ac:dyDescent="0.25">
      <c r="A444" t="s">
        <v>221</v>
      </c>
      <c r="B444" t="s">
        <v>703</v>
      </c>
    </row>
    <row r="445" spans="1:2" x14ac:dyDescent="0.25">
      <c r="A445" t="s">
        <v>201</v>
      </c>
      <c r="B445" t="s">
        <v>953</v>
      </c>
    </row>
    <row r="446" spans="1:2" x14ac:dyDescent="0.25">
      <c r="A446" t="s">
        <v>203</v>
      </c>
      <c r="B446" t="s">
        <v>954</v>
      </c>
    </row>
    <row r="447" spans="1:2" x14ac:dyDescent="0.25">
      <c r="A447" t="s">
        <v>203</v>
      </c>
      <c r="B447" t="s">
        <v>206</v>
      </c>
    </row>
    <row r="448" spans="1:2" x14ac:dyDescent="0.25">
      <c r="A448" t="s">
        <v>226</v>
      </c>
      <c r="B448" t="s">
        <v>955</v>
      </c>
    </row>
    <row r="449" spans="1:2" x14ac:dyDescent="0.25">
      <c r="A449" t="s">
        <v>203</v>
      </c>
      <c r="B449" t="s">
        <v>956</v>
      </c>
    </row>
    <row r="450" spans="1:2" x14ac:dyDescent="0.25">
      <c r="A450" t="s">
        <v>208</v>
      </c>
      <c r="B450" t="s">
        <v>957</v>
      </c>
    </row>
    <row r="451" spans="1:2" x14ac:dyDescent="0.25">
      <c r="A451" t="s">
        <v>201</v>
      </c>
      <c r="B451" t="s">
        <v>958</v>
      </c>
    </row>
    <row r="452" spans="1:2" x14ac:dyDescent="0.25">
      <c r="A452" t="s">
        <v>203</v>
      </c>
      <c r="B452" t="s">
        <v>959</v>
      </c>
    </row>
    <row r="453" spans="1:2" x14ac:dyDescent="0.25">
      <c r="A453" t="s">
        <v>201</v>
      </c>
      <c r="B453" t="s">
        <v>960</v>
      </c>
    </row>
    <row r="454" spans="1:2" x14ac:dyDescent="0.25">
      <c r="A454" t="s">
        <v>201</v>
      </c>
      <c r="B454" t="s">
        <v>961</v>
      </c>
    </row>
    <row r="455" spans="1:2" x14ac:dyDescent="0.25">
      <c r="A455" t="s">
        <v>201</v>
      </c>
      <c r="B455" t="s">
        <v>962</v>
      </c>
    </row>
    <row r="456" spans="1:2" x14ac:dyDescent="0.25">
      <c r="A456" t="s">
        <v>201</v>
      </c>
      <c r="B456" t="s">
        <v>212</v>
      </c>
    </row>
    <row r="457" spans="1:2" x14ac:dyDescent="0.25">
      <c r="A457" t="s">
        <v>201</v>
      </c>
      <c r="B457" t="s">
        <v>214</v>
      </c>
    </row>
    <row r="458" spans="1:2" x14ac:dyDescent="0.25">
      <c r="A458" t="s">
        <v>203</v>
      </c>
      <c r="B458" t="s">
        <v>963</v>
      </c>
    </row>
    <row r="459" spans="1:2" x14ac:dyDescent="0.25">
      <c r="A459" t="s">
        <v>221</v>
      </c>
      <c r="B459" t="s">
        <v>256</v>
      </c>
    </row>
    <row r="460" spans="1:2" x14ac:dyDescent="0.25">
      <c r="A460" t="s">
        <v>201</v>
      </c>
      <c r="B460" t="s">
        <v>964</v>
      </c>
    </row>
    <row r="461" spans="1:2" x14ac:dyDescent="0.25">
      <c r="A461" t="s">
        <v>203</v>
      </c>
      <c r="B461" t="s">
        <v>96</v>
      </c>
    </row>
    <row r="462" spans="1:2" x14ac:dyDescent="0.25">
      <c r="A462" t="s">
        <v>201</v>
      </c>
      <c r="B462" t="s">
        <v>212</v>
      </c>
    </row>
    <row r="463" spans="1:2" x14ac:dyDescent="0.25">
      <c r="A463" t="s">
        <v>201</v>
      </c>
      <c r="B463" t="s">
        <v>965</v>
      </c>
    </row>
    <row r="464" spans="1:2" x14ac:dyDescent="0.25">
      <c r="A464" t="s">
        <v>203</v>
      </c>
      <c r="B464" t="s">
        <v>966</v>
      </c>
    </row>
    <row r="465" spans="1:2" x14ac:dyDescent="0.25">
      <c r="A465" t="s">
        <v>201</v>
      </c>
      <c r="B465" t="s">
        <v>967</v>
      </c>
    </row>
    <row r="466" spans="1:2" x14ac:dyDescent="0.25">
      <c r="A466" t="s">
        <v>221</v>
      </c>
      <c r="B466" t="s">
        <v>968</v>
      </c>
    </row>
    <row r="467" spans="1:2" x14ac:dyDescent="0.25">
      <c r="A467" t="s">
        <v>203</v>
      </c>
      <c r="B467" t="s">
        <v>184</v>
      </c>
    </row>
    <row r="468" spans="1:2" x14ac:dyDescent="0.25">
      <c r="A468" t="s">
        <v>203</v>
      </c>
      <c r="B468" t="s">
        <v>969</v>
      </c>
    </row>
    <row r="469" spans="1:2" x14ac:dyDescent="0.25">
      <c r="A469" t="s">
        <v>201</v>
      </c>
      <c r="B469" t="s">
        <v>970</v>
      </c>
    </row>
    <row r="470" spans="1:2" x14ac:dyDescent="0.25">
      <c r="A470" t="s">
        <v>201</v>
      </c>
      <c r="B470" t="s">
        <v>971</v>
      </c>
    </row>
    <row r="471" spans="1:2" x14ac:dyDescent="0.25">
      <c r="A471" t="s">
        <v>208</v>
      </c>
      <c r="B471" t="s">
        <v>972</v>
      </c>
    </row>
    <row r="472" spans="1:2" x14ac:dyDescent="0.25">
      <c r="A472" t="s">
        <v>203</v>
      </c>
      <c r="B472" t="s">
        <v>973</v>
      </c>
    </row>
    <row r="473" spans="1:2" x14ac:dyDescent="0.25">
      <c r="A473" t="s">
        <v>201</v>
      </c>
      <c r="B473" t="s">
        <v>974</v>
      </c>
    </row>
    <row r="474" spans="1:2" x14ac:dyDescent="0.25">
      <c r="A474" t="s">
        <v>226</v>
      </c>
      <c r="B474" t="s">
        <v>975</v>
      </c>
    </row>
    <row r="475" spans="1:2" x14ac:dyDescent="0.25">
      <c r="A475" t="s">
        <v>203</v>
      </c>
      <c r="B475" t="s">
        <v>278</v>
      </c>
    </row>
    <row r="476" spans="1:2" x14ac:dyDescent="0.25">
      <c r="A476" t="s">
        <v>203</v>
      </c>
      <c r="B476" t="s">
        <v>976</v>
      </c>
    </row>
    <row r="477" spans="1:2" x14ac:dyDescent="0.25">
      <c r="A477" t="s">
        <v>203</v>
      </c>
      <c r="B477" t="s">
        <v>532</v>
      </c>
    </row>
    <row r="478" spans="1:2" x14ac:dyDescent="0.25">
      <c r="A478" t="s">
        <v>203</v>
      </c>
      <c r="B478" t="s">
        <v>278</v>
      </c>
    </row>
    <row r="479" spans="1:2" x14ac:dyDescent="0.25">
      <c r="A479" t="s">
        <v>203</v>
      </c>
      <c r="B479" t="s">
        <v>977</v>
      </c>
    </row>
    <row r="480" spans="1:2" x14ac:dyDescent="0.25">
      <c r="A480" t="s">
        <v>201</v>
      </c>
      <c r="B480" t="s">
        <v>978</v>
      </c>
    </row>
    <row r="481" spans="1:2" x14ac:dyDescent="0.25">
      <c r="A481" t="s">
        <v>203</v>
      </c>
      <c r="B481" t="s">
        <v>979</v>
      </c>
    </row>
    <row r="482" spans="1:2" x14ac:dyDescent="0.25">
      <c r="A482" t="s">
        <v>208</v>
      </c>
      <c r="B482" t="s">
        <v>198</v>
      </c>
    </row>
    <row r="483" spans="1:2" x14ac:dyDescent="0.25">
      <c r="A483" t="s">
        <v>203</v>
      </c>
      <c r="B483" t="s">
        <v>980</v>
      </c>
    </row>
    <row r="484" spans="1:2" x14ac:dyDescent="0.25">
      <c r="A484" t="s">
        <v>201</v>
      </c>
      <c r="B484" t="s">
        <v>981</v>
      </c>
    </row>
    <row r="485" spans="1:2" x14ac:dyDescent="0.25">
      <c r="A485" t="s">
        <v>208</v>
      </c>
      <c r="B485" t="s">
        <v>982</v>
      </c>
    </row>
    <row r="486" spans="1:2" x14ac:dyDescent="0.25">
      <c r="A486" t="s">
        <v>203</v>
      </c>
      <c r="B486" t="s">
        <v>96</v>
      </c>
    </row>
    <row r="487" spans="1:2" x14ac:dyDescent="0.25">
      <c r="A487" t="s">
        <v>201</v>
      </c>
      <c r="B487" t="s">
        <v>983</v>
      </c>
    </row>
    <row r="488" spans="1:2" x14ac:dyDescent="0.25">
      <c r="A488" t="s">
        <v>203</v>
      </c>
      <c r="B488" t="s">
        <v>984</v>
      </c>
    </row>
    <row r="489" spans="1:2" x14ac:dyDescent="0.25">
      <c r="A489" t="s">
        <v>203</v>
      </c>
      <c r="B489" t="s">
        <v>53</v>
      </c>
    </row>
    <row r="490" spans="1:2" x14ac:dyDescent="0.25">
      <c r="A490" t="s">
        <v>203</v>
      </c>
      <c r="B490" t="s">
        <v>382</v>
      </c>
    </row>
    <row r="491" spans="1:2" x14ac:dyDescent="0.25">
      <c r="A491" t="s">
        <v>201</v>
      </c>
      <c r="B491" t="s">
        <v>985</v>
      </c>
    </row>
    <row r="492" spans="1:2" x14ac:dyDescent="0.25">
      <c r="A492" t="s">
        <v>201</v>
      </c>
      <c r="B492" t="s">
        <v>986</v>
      </c>
    </row>
    <row r="493" spans="1:2" x14ac:dyDescent="0.25">
      <c r="A493" t="s">
        <v>203</v>
      </c>
      <c r="B493" t="s">
        <v>987</v>
      </c>
    </row>
    <row r="494" spans="1:2" x14ac:dyDescent="0.25">
      <c r="A494" t="s">
        <v>203</v>
      </c>
      <c r="B494" t="s">
        <v>387</v>
      </c>
    </row>
    <row r="495" spans="1:2" x14ac:dyDescent="0.25">
      <c r="A495" t="s">
        <v>201</v>
      </c>
      <c r="B495" t="s">
        <v>917</v>
      </c>
    </row>
    <row r="496" spans="1:2" x14ac:dyDescent="0.25">
      <c r="A496" t="s">
        <v>208</v>
      </c>
      <c r="B496" t="s">
        <v>988</v>
      </c>
    </row>
    <row r="497" spans="1:2" x14ac:dyDescent="0.25">
      <c r="A497" t="s">
        <v>201</v>
      </c>
      <c r="B497" t="s">
        <v>309</v>
      </c>
    </row>
    <row r="498" spans="1:2" x14ac:dyDescent="0.25">
      <c r="A498" t="s">
        <v>201</v>
      </c>
      <c r="B498" t="s">
        <v>774</v>
      </c>
    </row>
    <row r="499" spans="1:2" x14ac:dyDescent="0.25">
      <c r="A499" t="s">
        <v>208</v>
      </c>
      <c r="B499" t="s">
        <v>989</v>
      </c>
    </row>
    <row r="500" spans="1:2" x14ac:dyDescent="0.25">
      <c r="A500" t="s">
        <v>221</v>
      </c>
      <c r="B500" t="s">
        <v>990</v>
      </c>
    </row>
    <row r="501" spans="1:2" x14ac:dyDescent="0.25">
      <c r="A501" t="s">
        <v>201</v>
      </c>
      <c r="B501" t="s">
        <v>991</v>
      </c>
    </row>
    <row r="502" spans="1:2" x14ac:dyDescent="0.25">
      <c r="A502" t="s">
        <v>203</v>
      </c>
      <c r="B502" t="s">
        <v>992</v>
      </c>
    </row>
    <row r="503" spans="1:2" x14ac:dyDescent="0.25">
      <c r="A503" t="s">
        <v>203</v>
      </c>
      <c r="B503" t="s">
        <v>993</v>
      </c>
    </row>
    <row r="504" spans="1:2" x14ac:dyDescent="0.25">
      <c r="A504" t="s">
        <v>201</v>
      </c>
      <c r="B504" t="s">
        <v>856</v>
      </c>
    </row>
    <row r="505" spans="1:2" x14ac:dyDescent="0.25">
      <c r="A505" t="s">
        <v>203</v>
      </c>
      <c r="B505" t="s">
        <v>994</v>
      </c>
    </row>
    <row r="506" spans="1:2" x14ac:dyDescent="0.25">
      <c r="A506" t="s">
        <v>203</v>
      </c>
      <c r="B506" t="s">
        <v>278</v>
      </c>
    </row>
    <row r="507" spans="1:2" x14ac:dyDescent="0.25">
      <c r="A507" t="s">
        <v>201</v>
      </c>
      <c r="B507" t="s">
        <v>995</v>
      </c>
    </row>
    <row r="508" spans="1:2" x14ac:dyDescent="0.25">
      <c r="A508" t="s">
        <v>201</v>
      </c>
      <c r="B508" t="s">
        <v>996</v>
      </c>
    </row>
    <row r="509" spans="1:2" x14ac:dyDescent="0.25">
      <c r="A509" t="s">
        <v>221</v>
      </c>
      <c r="B509" t="s">
        <v>997</v>
      </c>
    </row>
    <row r="510" spans="1:2" x14ac:dyDescent="0.25">
      <c r="A510" t="s">
        <v>203</v>
      </c>
      <c r="B510" t="s">
        <v>998</v>
      </c>
    </row>
    <row r="511" spans="1:2" x14ac:dyDescent="0.25">
      <c r="A511" t="s">
        <v>221</v>
      </c>
      <c r="B511" t="s">
        <v>596</v>
      </c>
    </row>
    <row r="512" spans="1:2" x14ac:dyDescent="0.25">
      <c r="A512" t="s">
        <v>203</v>
      </c>
      <c r="B512" t="s">
        <v>263</v>
      </c>
    </row>
    <row r="513" spans="1:2" x14ac:dyDescent="0.25">
      <c r="A513" t="s">
        <v>201</v>
      </c>
      <c r="B513" t="s">
        <v>619</v>
      </c>
    </row>
    <row r="514" spans="1:2" x14ac:dyDescent="0.25">
      <c r="A514" t="s">
        <v>203</v>
      </c>
      <c r="B514" t="s">
        <v>999</v>
      </c>
    </row>
    <row r="515" spans="1:2" x14ac:dyDescent="0.25">
      <c r="A515" t="s">
        <v>201</v>
      </c>
      <c r="B515" t="s">
        <v>558</v>
      </c>
    </row>
    <row r="516" spans="1:2" x14ac:dyDescent="0.25">
      <c r="A516" t="s">
        <v>203</v>
      </c>
      <c r="B516" t="s">
        <v>74</v>
      </c>
    </row>
    <row r="517" spans="1:2" x14ac:dyDescent="0.25">
      <c r="A517" t="s">
        <v>201</v>
      </c>
      <c r="B517" t="s">
        <v>212</v>
      </c>
    </row>
    <row r="518" spans="1:2" x14ac:dyDescent="0.25">
      <c r="A518" t="s">
        <v>201</v>
      </c>
      <c r="B518" t="s">
        <v>309</v>
      </c>
    </row>
    <row r="519" spans="1:2" x14ac:dyDescent="0.25">
      <c r="A519" t="s">
        <v>203</v>
      </c>
      <c r="B519" t="s">
        <v>78</v>
      </c>
    </row>
    <row r="520" spans="1:2" x14ac:dyDescent="0.25">
      <c r="A520" t="s">
        <v>201</v>
      </c>
      <c r="B520" t="s">
        <v>1000</v>
      </c>
    </row>
    <row r="521" spans="1:2" x14ac:dyDescent="0.25">
      <c r="A521" t="s">
        <v>203</v>
      </c>
      <c r="B521" t="s">
        <v>1001</v>
      </c>
    </row>
    <row r="522" spans="1:2" x14ac:dyDescent="0.25">
      <c r="A522" t="s">
        <v>201</v>
      </c>
      <c r="B522" t="s">
        <v>1002</v>
      </c>
    </row>
    <row r="523" spans="1:2" x14ac:dyDescent="0.25">
      <c r="A523" t="s">
        <v>201</v>
      </c>
      <c r="B523" t="s">
        <v>1003</v>
      </c>
    </row>
    <row r="524" spans="1:2" x14ac:dyDescent="0.25">
      <c r="A524" t="s">
        <v>203</v>
      </c>
      <c r="B524" t="s">
        <v>214</v>
      </c>
    </row>
    <row r="525" spans="1:2" x14ac:dyDescent="0.25">
      <c r="A525" t="s">
        <v>201</v>
      </c>
      <c r="B525" t="s">
        <v>1004</v>
      </c>
    </row>
    <row r="526" spans="1:2" x14ac:dyDescent="0.25">
      <c r="A526" t="s">
        <v>201</v>
      </c>
      <c r="B526" t="s">
        <v>256</v>
      </c>
    </row>
    <row r="527" spans="1:2" x14ac:dyDescent="0.25">
      <c r="A527" t="s">
        <v>201</v>
      </c>
      <c r="B527" t="s">
        <v>981</v>
      </c>
    </row>
    <row r="528" spans="1:2" x14ac:dyDescent="0.25">
      <c r="A528" t="s">
        <v>208</v>
      </c>
      <c r="B528" t="s">
        <v>1005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0"/>
  <sheetViews>
    <sheetView workbookViewId="0"/>
  </sheetViews>
  <sheetFormatPr defaultRowHeight="15" x14ac:dyDescent="0.25"/>
  <cols>
    <col min="1" max="4" width="30.7109375" customWidth="1"/>
  </cols>
  <sheetData>
    <row r="1" spans="1:2" s="3" customFormat="1" x14ac:dyDescent="0.25">
      <c r="A1" s="9" t="str">
        <f>HYPERLINK("#Tabulka!A106","Kterou **značku** si vybavíte, když vidíte tuto osobnost?")</f>
        <v>Kterou **značku** si vybavíte, když vidíte tuto osobnost?</v>
      </c>
    </row>
    <row r="2" spans="1:2" x14ac:dyDescent="0.25">
      <c r="A2" t="s">
        <v>132</v>
      </c>
    </row>
    <row r="3" spans="1:2" x14ac:dyDescent="0.25">
      <c r="A3" t="s">
        <v>1007</v>
      </c>
    </row>
    <row r="4" spans="1:2" x14ac:dyDescent="0.25">
      <c r="A4" t="s">
        <v>62</v>
      </c>
    </row>
    <row r="5" spans="1:2" x14ac:dyDescent="0.25">
      <c r="A5" t="s">
        <v>30</v>
      </c>
      <c r="B5" t="s">
        <v>1008</v>
      </c>
    </row>
    <row r="6" spans="1:2" x14ac:dyDescent="0.25">
      <c r="A6" t="s">
        <v>1007</v>
      </c>
    </row>
    <row r="7" spans="1:2" x14ac:dyDescent="0.25">
      <c r="A7" t="s">
        <v>1009</v>
      </c>
    </row>
    <row r="8" spans="1:2" x14ac:dyDescent="0.25">
      <c r="A8" t="s">
        <v>29</v>
      </c>
    </row>
    <row r="9" spans="1:2" x14ac:dyDescent="0.25">
      <c r="A9" t="s">
        <v>87</v>
      </c>
    </row>
    <row r="10" spans="1:2" x14ac:dyDescent="0.25">
      <c r="A10" t="s">
        <v>560</v>
      </c>
    </row>
    <row r="11" spans="1:2" x14ac:dyDescent="0.25">
      <c r="A11" t="s">
        <v>1010</v>
      </c>
    </row>
    <row r="12" spans="1:2" x14ac:dyDescent="0.25">
      <c r="A12" t="s">
        <v>62</v>
      </c>
    </row>
    <row r="13" spans="1:2" x14ac:dyDescent="0.25">
      <c r="A13" t="s">
        <v>172</v>
      </c>
    </row>
    <row r="14" spans="1:2" x14ac:dyDescent="0.25">
      <c r="A14" t="s">
        <v>1011</v>
      </c>
    </row>
    <row r="15" spans="1:2" x14ac:dyDescent="0.25">
      <c r="A15" t="s">
        <v>87</v>
      </c>
    </row>
    <row r="16" spans="1:2" x14ac:dyDescent="0.25">
      <c r="A16" t="s">
        <v>1012</v>
      </c>
    </row>
    <row r="17" spans="1:2" x14ac:dyDescent="0.25">
      <c r="A17" t="s">
        <v>1010</v>
      </c>
    </row>
    <row r="18" spans="1:2" x14ac:dyDescent="0.25">
      <c r="A18" t="s">
        <v>1013</v>
      </c>
    </row>
    <row r="19" spans="1:2" x14ac:dyDescent="0.25">
      <c r="A19" t="s">
        <v>62</v>
      </c>
    </row>
    <row r="20" spans="1:2" x14ac:dyDescent="0.25">
      <c r="A20" t="s">
        <v>1014</v>
      </c>
    </row>
    <row r="21" spans="1:2" x14ac:dyDescent="0.25">
      <c r="A21" t="s">
        <v>29</v>
      </c>
    </row>
    <row r="22" spans="1:2" x14ac:dyDescent="0.25">
      <c r="A22" t="s">
        <v>72</v>
      </c>
    </row>
    <row r="23" spans="1:2" x14ac:dyDescent="0.25">
      <c r="A23" t="s">
        <v>41</v>
      </c>
    </row>
    <row r="24" spans="1:2" x14ac:dyDescent="0.25">
      <c r="A24" t="s">
        <v>1007</v>
      </c>
    </row>
    <row r="25" spans="1:2" x14ac:dyDescent="0.25">
      <c r="A25" t="s">
        <v>1015</v>
      </c>
    </row>
    <row r="26" spans="1:2" x14ac:dyDescent="0.25">
      <c r="A26" t="s">
        <v>139</v>
      </c>
      <c r="B26" t="s">
        <v>1016</v>
      </c>
    </row>
    <row r="27" spans="1:2" x14ac:dyDescent="0.25">
      <c r="A27" t="s">
        <v>1017</v>
      </c>
    </row>
    <row r="28" spans="1:2" x14ac:dyDescent="0.25">
      <c r="A28" t="s">
        <v>1018</v>
      </c>
    </row>
    <row r="29" spans="1:2" x14ac:dyDescent="0.25">
      <c r="A29" t="s">
        <v>1019</v>
      </c>
    </row>
    <row r="30" spans="1:2" x14ac:dyDescent="0.25">
      <c r="A30" t="s">
        <v>1020</v>
      </c>
    </row>
    <row r="31" spans="1:2" x14ac:dyDescent="0.25">
      <c r="A31" t="s">
        <v>198</v>
      </c>
    </row>
    <row r="32" spans="1:2" x14ac:dyDescent="0.25">
      <c r="A32" t="s">
        <v>1021</v>
      </c>
    </row>
    <row r="33" spans="1:3" x14ac:dyDescent="0.25">
      <c r="A33" t="s">
        <v>1022</v>
      </c>
    </row>
    <row r="34" spans="1:3" x14ac:dyDescent="0.25">
      <c r="A34" t="s">
        <v>26</v>
      </c>
    </row>
    <row r="35" spans="1:3" x14ac:dyDescent="0.25">
      <c r="A35" t="s">
        <v>1023</v>
      </c>
    </row>
    <row r="36" spans="1:3" x14ac:dyDescent="0.25">
      <c r="A36" t="s">
        <v>29</v>
      </c>
    </row>
    <row r="37" spans="1:3" x14ac:dyDescent="0.25">
      <c r="A37" t="s">
        <v>26</v>
      </c>
    </row>
    <row r="38" spans="1:3" x14ac:dyDescent="0.25">
      <c r="A38" t="s">
        <v>1024</v>
      </c>
      <c r="B38" t="s">
        <v>30</v>
      </c>
    </row>
    <row r="39" spans="1:3" x14ac:dyDescent="0.25">
      <c r="A39" t="s">
        <v>1025</v>
      </c>
    </row>
    <row r="40" spans="1:3" x14ac:dyDescent="0.25">
      <c r="A40" t="s">
        <v>1023</v>
      </c>
    </row>
    <row r="41" spans="1:3" x14ac:dyDescent="0.25">
      <c r="A41" t="s">
        <v>121</v>
      </c>
    </row>
    <row r="42" spans="1:3" x14ac:dyDescent="0.25">
      <c r="A42" t="s">
        <v>1020</v>
      </c>
    </row>
    <row r="43" spans="1:3" x14ac:dyDescent="0.25">
      <c r="A43" t="s">
        <v>1007</v>
      </c>
    </row>
    <row r="44" spans="1:3" x14ac:dyDescent="0.25">
      <c r="A44" t="s">
        <v>1010</v>
      </c>
    </row>
    <row r="45" spans="1:3" x14ac:dyDescent="0.25">
      <c r="A45" t="s">
        <v>1026</v>
      </c>
    </row>
    <row r="46" spans="1:3" x14ac:dyDescent="0.25">
      <c r="A46" t="s">
        <v>26</v>
      </c>
    </row>
    <row r="47" spans="1:3" x14ac:dyDescent="0.25">
      <c r="A47" t="s">
        <v>1027</v>
      </c>
      <c r="B47" t="s">
        <v>30</v>
      </c>
      <c r="C47" t="s">
        <v>139</v>
      </c>
    </row>
    <row r="48" spans="1:3" x14ac:dyDescent="0.25">
      <c r="A48" t="s">
        <v>1010</v>
      </c>
    </row>
    <row r="49" spans="1:3" x14ac:dyDescent="0.25">
      <c r="A49" t="s">
        <v>1028</v>
      </c>
    </row>
    <row r="50" spans="1:3" x14ac:dyDescent="0.25">
      <c r="A50" t="s">
        <v>30</v>
      </c>
      <c r="B50" t="s">
        <v>1016</v>
      </c>
      <c r="C50" t="s">
        <v>1024</v>
      </c>
    </row>
    <row r="51" spans="1:3" x14ac:dyDescent="0.25">
      <c r="A51" t="s">
        <v>1020</v>
      </c>
    </row>
    <row r="52" spans="1:3" x14ac:dyDescent="0.25">
      <c r="A52" t="s">
        <v>1029</v>
      </c>
      <c r="B52" t="s">
        <v>1030</v>
      </c>
    </row>
    <row r="53" spans="1:3" x14ac:dyDescent="0.25">
      <c r="A53" t="s">
        <v>1015</v>
      </c>
      <c r="B53" t="s">
        <v>1024</v>
      </c>
    </row>
    <row r="54" spans="1:3" x14ac:dyDescent="0.25">
      <c r="A54" t="s">
        <v>1010</v>
      </c>
    </row>
    <row r="55" spans="1:3" x14ac:dyDescent="0.25">
      <c r="A55" t="s">
        <v>1007</v>
      </c>
    </row>
    <row r="56" spans="1:3" x14ac:dyDescent="0.25">
      <c r="A56" t="s">
        <v>139</v>
      </c>
    </row>
    <row r="57" spans="1:3" x14ac:dyDescent="0.25">
      <c r="A57" t="s">
        <v>62</v>
      </c>
    </row>
    <row r="58" spans="1:3" x14ac:dyDescent="0.25">
      <c r="A58" t="s">
        <v>26</v>
      </c>
    </row>
    <row r="59" spans="1:3" x14ac:dyDescent="0.25">
      <c r="A59" t="s">
        <v>62</v>
      </c>
    </row>
    <row r="60" spans="1:3" x14ac:dyDescent="0.25">
      <c r="A60" t="s">
        <v>47</v>
      </c>
    </row>
    <row r="61" spans="1:3" x14ac:dyDescent="0.25">
      <c r="A61" t="s">
        <v>26</v>
      </c>
    </row>
    <row r="62" spans="1:3" x14ac:dyDescent="0.25">
      <c r="A62" t="s">
        <v>1007</v>
      </c>
    </row>
    <row r="63" spans="1:3" x14ac:dyDescent="0.25">
      <c r="A63" t="s">
        <v>1020</v>
      </c>
    </row>
    <row r="64" spans="1:3" x14ac:dyDescent="0.25">
      <c r="A64" t="s">
        <v>26</v>
      </c>
    </row>
    <row r="65" spans="1:2" x14ac:dyDescent="0.25">
      <c r="A65" t="s">
        <v>72</v>
      </c>
    </row>
    <row r="66" spans="1:2" x14ac:dyDescent="0.25">
      <c r="A66" t="s">
        <v>1018</v>
      </c>
    </row>
    <row r="67" spans="1:2" x14ac:dyDescent="0.25">
      <c r="A67" t="s">
        <v>1031</v>
      </c>
      <c r="B67" t="s">
        <v>1032</v>
      </c>
    </row>
    <row r="68" spans="1:2" x14ac:dyDescent="0.25">
      <c r="A68" t="s">
        <v>139</v>
      </c>
    </row>
    <row r="69" spans="1:2" x14ac:dyDescent="0.25">
      <c r="A69" t="s">
        <v>72</v>
      </c>
    </row>
    <row r="70" spans="1:2" x14ac:dyDescent="0.25">
      <c r="A70" t="s">
        <v>1033</v>
      </c>
    </row>
    <row r="71" spans="1:2" x14ac:dyDescent="0.25">
      <c r="A71" t="s">
        <v>62</v>
      </c>
    </row>
    <row r="72" spans="1:2" x14ac:dyDescent="0.25">
      <c r="A72" t="s">
        <v>1034</v>
      </c>
    </row>
    <row r="73" spans="1:2" x14ac:dyDescent="0.25">
      <c r="A73" t="s">
        <v>78</v>
      </c>
    </row>
    <row r="74" spans="1:2" x14ac:dyDescent="0.25">
      <c r="A74" t="s">
        <v>1007</v>
      </c>
    </row>
    <row r="75" spans="1:2" x14ac:dyDescent="0.25">
      <c r="A75" t="s">
        <v>62</v>
      </c>
    </row>
    <row r="76" spans="1:2" x14ac:dyDescent="0.25">
      <c r="A76" t="s">
        <v>1035</v>
      </c>
    </row>
    <row r="77" spans="1:2" x14ac:dyDescent="0.25">
      <c r="A77" t="s">
        <v>78</v>
      </c>
    </row>
    <row r="78" spans="1:2" x14ac:dyDescent="0.25">
      <c r="A78" t="s">
        <v>1013</v>
      </c>
    </row>
    <row r="79" spans="1:2" x14ac:dyDescent="0.25">
      <c r="A79" t="s">
        <v>1015</v>
      </c>
    </row>
    <row r="80" spans="1:2" x14ac:dyDescent="0.25">
      <c r="A80" t="s">
        <v>1036</v>
      </c>
    </row>
    <row r="81" spans="1:2" x14ac:dyDescent="0.25">
      <c r="A81" t="s">
        <v>1037</v>
      </c>
    </row>
    <row r="82" spans="1:2" x14ac:dyDescent="0.25">
      <c r="A82" t="s">
        <v>610</v>
      </c>
    </row>
    <row r="83" spans="1:2" x14ac:dyDescent="0.25">
      <c r="A83" t="s">
        <v>1038</v>
      </c>
    </row>
    <row r="84" spans="1:2" x14ac:dyDescent="0.25">
      <c r="A84" t="s">
        <v>1039</v>
      </c>
    </row>
    <row r="85" spans="1:2" x14ac:dyDescent="0.25">
      <c r="A85" t="s">
        <v>62</v>
      </c>
    </row>
    <row r="86" spans="1:2" x14ac:dyDescent="0.25">
      <c r="A86" t="s">
        <v>1040</v>
      </c>
      <c r="B86" t="s">
        <v>102</v>
      </c>
    </row>
    <row r="87" spans="1:2" x14ac:dyDescent="0.25">
      <c r="A87" t="s">
        <v>1041</v>
      </c>
    </row>
    <row r="88" spans="1:2" x14ac:dyDescent="0.25">
      <c r="A88" t="s">
        <v>78</v>
      </c>
    </row>
    <row r="89" spans="1:2" x14ac:dyDescent="0.25">
      <c r="A89" t="s">
        <v>111</v>
      </c>
    </row>
    <row r="90" spans="1:2" x14ac:dyDescent="0.25">
      <c r="A90" t="s">
        <v>1042</v>
      </c>
    </row>
    <row r="91" spans="1:2" x14ac:dyDescent="0.25">
      <c r="A91" t="s">
        <v>1043</v>
      </c>
    </row>
    <row r="92" spans="1:2" x14ac:dyDescent="0.25">
      <c r="A92" t="s">
        <v>1007</v>
      </c>
    </row>
    <row r="93" spans="1:2" x14ac:dyDescent="0.25">
      <c r="A93" t="s">
        <v>29</v>
      </c>
    </row>
    <row r="94" spans="1:2" x14ac:dyDescent="0.25">
      <c r="A94" t="s">
        <v>1044</v>
      </c>
    </row>
    <row r="95" spans="1:2" x14ac:dyDescent="0.25">
      <c r="A95" t="s">
        <v>1045</v>
      </c>
    </row>
    <row r="96" spans="1:2" x14ac:dyDescent="0.25">
      <c r="A96" t="s">
        <v>1020</v>
      </c>
    </row>
    <row r="97" spans="1:2" x14ac:dyDescent="0.25">
      <c r="A97" t="s">
        <v>1007</v>
      </c>
    </row>
    <row r="98" spans="1:2" x14ac:dyDescent="0.25">
      <c r="A98" t="s">
        <v>62</v>
      </c>
    </row>
    <row r="99" spans="1:2" x14ac:dyDescent="0.25">
      <c r="A99" t="s">
        <v>1046</v>
      </c>
    </row>
    <row r="100" spans="1:2" x14ac:dyDescent="0.25">
      <c r="A100" t="s">
        <v>1047</v>
      </c>
    </row>
    <row r="101" spans="1:2" x14ac:dyDescent="0.25">
      <c r="A101" t="s">
        <v>139</v>
      </c>
    </row>
    <row r="102" spans="1:2" x14ac:dyDescent="0.25">
      <c r="A102" t="s">
        <v>1048</v>
      </c>
    </row>
    <row r="103" spans="1:2" x14ac:dyDescent="0.25">
      <c r="A103" t="s">
        <v>72</v>
      </c>
    </row>
    <row r="104" spans="1:2" x14ac:dyDescent="0.25">
      <c r="A104" t="s">
        <v>1049</v>
      </c>
      <c r="B104" t="s">
        <v>60</v>
      </c>
    </row>
    <row r="105" spans="1:2" x14ac:dyDescent="0.25">
      <c r="A105" t="s">
        <v>560</v>
      </c>
    </row>
    <row r="106" spans="1:2" x14ac:dyDescent="0.25">
      <c r="A106" t="s">
        <v>1050</v>
      </c>
    </row>
    <row r="107" spans="1:2" x14ac:dyDescent="0.25">
      <c r="A107" t="s">
        <v>26</v>
      </c>
    </row>
    <row r="108" spans="1:2" x14ac:dyDescent="0.25">
      <c r="A108" t="s">
        <v>1051</v>
      </c>
    </row>
    <row r="109" spans="1:2" x14ac:dyDescent="0.25">
      <c r="A109" t="s">
        <v>1024</v>
      </c>
      <c r="B109" t="s">
        <v>33</v>
      </c>
    </row>
    <row r="110" spans="1:2" x14ac:dyDescent="0.25">
      <c r="A110" t="s">
        <v>1010</v>
      </c>
    </row>
    <row r="111" spans="1:2" x14ac:dyDescent="0.25">
      <c r="A111" t="s">
        <v>1052</v>
      </c>
    </row>
    <row r="112" spans="1:2" x14ac:dyDescent="0.25">
      <c r="A112" t="s">
        <v>1017</v>
      </c>
    </row>
    <row r="113" spans="1:1" x14ac:dyDescent="0.25">
      <c r="A113" t="s">
        <v>33</v>
      </c>
    </row>
    <row r="114" spans="1:1" x14ac:dyDescent="0.25">
      <c r="A114" t="s">
        <v>87</v>
      </c>
    </row>
    <row r="115" spans="1:1" x14ac:dyDescent="0.25">
      <c r="A115" t="s">
        <v>1020</v>
      </c>
    </row>
    <row r="116" spans="1:1" x14ac:dyDescent="0.25">
      <c r="A116" t="s">
        <v>33</v>
      </c>
    </row>
    <row r="117" spans="1:1" x14ac:dyDescent="0.25">
      <c r="A117" t="s">
        <v>1010</v>
      </c>
    </row>
    <row r="118" spans="1:1" x14ac:dyDescent="0.25">
      <c r="A118" t="s">
        <v>60</v>
      </c>
    </row>
    <row r="119" spans="1:1" x14ac:dyDescent="0.25">
      <c r="A119" t="s">
        <v>1053</v>
      </c>
    </row>
    <row r="120" spans="1:1" x14ac:dyDescent="0.25">
      <c r="A120" t="s">
        <v>62</v>
      </c>
    </row>
    <row r="121" spans="1:1" x14ac:dyDescent="0.25">
      <c r="A121" t="s">
        <v>96</v>
      </c>
    </row>
    <row r="122" spans="1:1" x14ac:dyDescent="0.25">
      <c r="A122" t="s">
        <v>1020</v>
      </c>
    </row>
    <row r="123" spans="1:1" x14ac:dyDescent="0.25">
      <c r="A123" t="s">
        <v>1054</v>
      </c>
    </row>
    <row r="124" spans="1:1" x14ac:dyDescent="0.25">
      <c r="A124" t="s">
        <v>1055</v>
      </c>
    </row>
    <row r="125" spans="1:1" x14ac:dyDescent="0.25">
      <c r="A125" t="s">
        <v>1056</v>
      </c>
    </row>
    <row r="126" spans="1:1" x14ac:dyDescent="0.25">
      <c r="A126" t="s">
        <v>1057</v>
      </c>
    </row>
    <row r="127" spans="1:1" x14ac:dyDescent="0.25">
      <c r="A127" t="s">
        <v>1015</v>
      </c>
    </row>
    <row r="128" spans="1:1" x14ac:dyDescent="0.25">
      <c r="A128" t="s">
        <v>1013</v>
      </c>
    </row>
    <row r="129" spans="1:3" x14ac:dyDescent="0.25">
      <c r="A129" t="s">
        <v>62</v>
      </c>
    </row>
    <row r="130" spans="1:3" x14ac:dyDescent="0.25">
      <c r="A130" t="s">
        <v>198</v>
      </c>
    </row>
    <row r="131" spans="1:3" x14ac:dyDescent="0.25">
      <c r="A131" t="s">
        <v>1058</v>
      </c>
    </row>
    <row r="132" spans="1:3" x14ac:dyDescent="0.25">
      <c r="A132" t="s">
        <v>1059</v>
      </c>
    </row>
    <row r="133" spans="1:3" x14ac:dyDescent="0.25">
      <c r="A133" t="s">
        <v>78</v>
      </c>
    </row>
    <row r="134" spans="1:3" x14ac:dyDescent="0.25">
      <c r="A134" t="s">
        <v>1007</v>
      </c>
    </row>
    <row r="135" spans="1:3" x14ac:dyDescent="0.25">
      <c r="A135" t="s">
        <v>26</v>
      </c>
    </row>
    <row r="136" spans="1:3" x14ac:dyDescent="0.25">
      <c r="A136" t="s">
        <v>1060</v>
      </c>
    </row>
    <row r="137" spans="1:3" x14ac:dyDescent="0.25">
      <c r="A137" t="s">
        <v>1007</v>
      </c>
    </row>
    <row r="138" spans="1:3" x14ac:dyDescent="0.25">
      <c r="A138" t="s">
        <v>1020</v>
      </c>
    </row>
    <row r="139" spans="1:3" x14ac:dyDescent="0.25">
      <c r="A139" t="s">
        <v>1061</v>
      </c>
    </row>
    <row r="140" spans="1:3" x14ac:dyDescent="0.25">
      <c r="A140" t="s">
        <v>1007</v>
      </c>
    </row>
    <row r="141" spans="1:3" x14ac:dyDescent="0.25">
      <c r="A141" t="s">
        <v>560</v>
      </c>
    </row>
    <row r="142" spans="1:3" x14ac:dyDescent="0.25">
      <c r="A142" t="s">
        <v>1007</v>
      </c>
    </row>
    <row r="143" spans="1:3" x14ac:dyDescent="0.25">
      <c r="A143" t="s">
        <v>1062</v>
      </c>
      <c r="B143" t="s">
        <v>1063</v>
      </c>
      <c r="C143" t="s">
        <v>1064</v>
      </c>
    </row>
    <row r="144" spans="1:3" x14ac:dyDescent="0.25">
      <c r="A144" t="s">
        <v>78</v>
      </c>
    </row>
    <row r="145" spans="1:2" x14ac:dyDescent="0.25">
      <c r="A145" t="s">
        <v>1040</v>
      </c>
    </row>
    <row r="146" spans="1:2" x14ac:dyDescent="0.25">
      <c r="A146" t="s">
        <v>1065</v>
      </c>
    </row>
    <row r="147" spans="1:2" x14ac:dyDescent="0.25">
      <c r="A147" t="s">
        <v>47</v>
      </c>
    </row>
    <row r="148" spans="1:2" x14ac:dyDescent="0.25">
      <c r="A148" t="s">
        <v>30</v>
      </c>
    </row>
    <row r="149" spans="1:2" x14ac:dyDescent="0.25">
      <c r="A149" t="s">
        <v>74</v>
      </c>
    </row>
    <row r="150" spans="1:2" x14ac:dyDescent="0.25">
      <c r="A150" t="s">
        <v>1066</v>
      </c>
    </row>
    <row r="151" spans="1:2" x14ac:dyDescent="0.25">
      <c r="A151" t="s">
        <v>30</v>
      </c>
    </row>
    <row r="152" spans="1:2" x14ac:dyDescent="0.25">
      <c r="A152" t="s">
        <v>156</v>
      </c>
      <c r="B152" t="s">
        <v>172</v>
      </c>
    </row>
    <row r="153" spans="1:2" x14ac:dyDescent="0.25">
      <c r="A153" t="s">
        <v>1007</v>
      </c>
    </row>
    <row r="154" spans="1:2" x14ac:dyDescent="0.25">
      <c r="A154" t="s">
        <v>1024</v>
      </c>
    </row>
    <row r="155" spans="1:2" x14ac:dyDescent="0.25">
      <c r="A155" t="s">
        <v>1007</v>
      </c>
    </row>
    <row r="156" spans="1:2" x14ac:dyDescent="0.25">
      <c r="A156" t="s">
        <v>62</v>
      </c>
    </row>
    <row r="157" spans="1:2" x14ac:dyDescent="0.25">
      <c r="A157" t="s">
        <v>1067</v>
      </c>
    </row>
    <row r="158" spans="1:2" x14ac:dyDescent="0.25">
      <c r="A158" t="s">
        <v>1068</v>
      </c>
    </row>
    <row r="159" spans="1:2" x14ac:dyDescent="0.25">
      <c r="A159" t="s">
        <v>1069</v>
      </c>
    </row>
    <row r="160" spans="1:2" x14ac:dyDescent="0.25">
      <c r="A160" t="s">
        <v>1070</v>
      </c>
    </row>
    <row r="161" spans="1:1" x14ac:dyDescent="0.25">
      <c r="A161" t="s">
        <v>1007</v>
      </c>
    </row>
    <row r="162" spans="1:1" x14ac:dyDescent="0.25">
      <c r="A162" t="s">
        <v>29</v>
      </c>
    </row>
    <row r="163" spans="1:1" x14ac:dyDescent="0.25">
      <c r="A163" t="s">
        <v>1007</v>
      </c>
    </row>
    <row r="164" spans="1:1" x14ac:dyDescent="0.25">
      <c r="A164" t="s">
        <v>29</v>
      </c>
    </row>
    <row r="165" spans="1:1" x14ac:dyDescent="0.25">
      <c r="A165" t="s">
        <v>118</v>
      </c>
    </row>
    <row r="166" spans="1:1" x14ac:dyDescent="0.25">
      <c r="A166" t="s">
        <v>62</v>
      </c>
    </row>
    <row r="167" spans="1:1" x14ac:dyDescent="0.25">
      <c r="A167" t="s">
        <v>1020</v>
      </c>
    </row>
    <row r="168" spans="1:1" x14ac:dyDescent="0.25">
      <c r="A168" t="s">
        <v>72</v>
      </c>
    </row>
    <row r="169" spans="1:1" x14ac:dyDescent="0.25">
      <c r="A169" t="s">
        <v>62</v>
      </c>
    </row>
    <row r="170" spans="1:1" x14ac:dyDescent="0.25">
      <c r="A170" t="s">
        <v>26</v>
      </c>
    </row>
    <row r="171" spans="1:1" x14ac:dyDescent="0.25">
      <c r="A171" t="s">
        <v>717</v>
      </c>
    </row>
    <row r="172" spans="1:1" x14ac:dyDescent="0.25">
      <c r="A172" t="s">
        <v>26</v>
      </c>
    </row>
    <row r="173" spans="1:1" x14ac:dyDescent="0.25">
      <c r="A173" t="s">
        <v>1007</v>
      </c>
    </row>
    <row r="174" spans="1:1" x14ac:dyDescent="0.25">
      <c r="A174" t="s">
        <v>1020</v>
      </c>
    </row>
    <row r="175" spans="1:1" x14ac:dyDescent="0.25">
      <c r="A175" t="s">
        <v>29</v>
      </c>
    </row>
    <row r="176" spans="1:1" x14ac:dyDescent="0.25">
      <c r="A176" t="s">
        <v>1020</v>
      </c>
    </row>
    <row r="177" spans="1:1" x14ac:dyDescent="0.25">
      <c r="A177" t="s">
        <v>1007</v>
      </c>
    </row>
    <row r="178" spans="1:1" x14ac:dyDescent="0.25">
      <c r="A178" t="s">
        <v>54</v>
      </c>
    </row>
    <row r="179" spans="1:1" x14ac:dyDescent="0.25">
      <c r="A179" t="s">
        <v>1007</v>
      </c>
    </row>
    <row r="180" spans="1:1" x14ac:dyDescent="0.25">
      <c r="A180" t="s">
        <v>72</v>
      </c>
    </row>
    <row r="181" spans="1:1" x14ac:dyDescent="0.25">
      <c r="A181" t="s">
        <v>1024</v>
      </c>
    </row>
    <row r="182" spans="1:1" x14ac:dyDescent="0.25">
      <c r="A182" t="s">
        <v>29</v>
      </c>
    </row>
    <row r="183" spans="1:1" x14ac:dyDescent="0.25">
      <c r="A183" t="s">
        <v>30</v>
      </c>
    </row>
    <row r="184" spans="1:1" x14ac:dyDescent="0.25">
      <c r="A184" t="s">
        <v>126</v>
      </c>
    </row>
    <row r="185" spans="1:1" x14ac:dyDescent="0.25">
      <c r="A185" t="s">
        <v>26</v>
      </c>
    </row>
    <row r="186" spans="1:1" x14ac:dyDescent="0.25">
      <c r="A186" t="s">
        <v>1007</v>
      </c>
    </row>
    <row r="187" spans="1:1" x14ac:dyDescent="0.25">
      <c r="A187" t="s">
        <v>26</v>
      </c>
    </row>
    <row r="188" spans="1:1" x14ac:dyDescent="0.25">
      <c r="A188" t="s">
        <v>1071</v>
      </c>
    </row>
    <row r="189" spans="1:1" x14ac:dyDescent="0.25">
      <c r="A189" t="s">
        <v>560</v>
      </c>
    </row>
    <row r="190" spans="1:1" x14ac:dyDescent="0.25">
      <c r="A190" t="s">
        <v>1020</v>
      </c>
    </row>
    <row r="191" spans="1:1" x14ac:dyDescent="0.25">
      <c r="A191" t="s">
        <v>139</v>
      </c>
    </row>
    <row r="192" spans="1:1" x14ac:dyDescent="0.25">
      <c r="A192" t="s">
        <v>47</v>
      </c>
    </row>
    <row r="193" spans="1:1" x14ac:dyDescent="0.25">
      <c r="A193" t="s">
        <v>72</v>
      </c>
    </row>
    <row r="194" spans="1:1" x14ac:dyDescent="0.25">
      <c r="A194" t="s">
        <v>121</v>
      </c>
    </row>
    <row r="195" spans="1:1" x14ac:dyDescent="0.25">
      <c r="A195" t="s">
        <v>1020</v>
      </c>
    </row>
    <row r="196" spans="1:1" x14ac:dyDescent="0.25">
      <c r="A196" t="s">
        <v>1040</v>
      </c>
    </row>
    <row r="197" spans="1:1" x14ac:dyDescent="0.25">
      <c r="A197" t="s">
        <v>1072</v>
      </c>
    </row>
    <row r="198" spans="1:1" x14ac:dyDescent="0.25">
      <c r="A198" t="s">
        <v>74</v>
      </c>
    </row>
    <row r="199" spans="1:1" x14ac:dyDescent="0.25">
      <c r="A199" t="s">
        <v>1020</v>
      </c>
    </row>
    <row r="200" spans="1:1" x14ac:dyDescent="0.25">
      <c r="A200" t="s">
        <v>47</v>
      </c>
    </row>
    <row r="201" spans="1:1" x14ac:dyDescent="0.25">
      <c r="A201" t="s">
        <v>1007</v>
      </c>
    </row>
    <row r="202" spans="1:1" x14ac:dyDescent="0.25">
      <c r="A202" t="s">
        <v>1073</v>
      </c>
    </row>
    <row r="203" spans="1:1" x14ac:dyDescent="0.25">
      <c r="A203" t="s">
        <v>1074</v>
      </c>
    </row>
    <row r="204" spans="1:1" x14ac:dyDescent="0.25">
      <c r="A204" t="s">
        <v>1036</v>
      </c>
    </row>
    <row r="205" spans="1:1" x14ac:dyDescent="0.25">
      <c r="A205" t="s">
        <v>26</v>
      </c>
    </row>
    <row r="206" spans="1:1" x14ac:dyDescent="0.25">
      <c r="A206" t="s">
        <v>1007</v>
      </c>
    </row>
    <row r="207" spans="1:1" x14ac:dyDescent="0.25">
      <c r="A207" t="s">
        <v>26</v>
      </c>
    </row>
    <row r="208" spans="1:1" x14ac:dyDescent="0.25">
      <c r="A208" t="s">
        <v>1007</v>
      </c>
    </row>
    <row r="209" spans="1:2" x14ac:dyDescent="0.25">
      <c r="A209" t="s">
        <v>87</v>
      </c>
    </row>
    <row r="210" spans="1:2" x14ac:dyDescent="0.25">
      <c r="A210" t="s">
        <v>1075</v>
      </c>
    </row>
    <row r="211" spans="1:2" x14ac:dyDescent="0.25">
      <c r="A211" t="s">
        <v>87</v>
      </c>
    </row>
    <row r="212" spans="1:2" x14ac:dyDescent="0.25">
      <c r="A212" t="s">
        <v>62</v>
      </c>
    </row>
    <row r="213" spans="1:2" x14ac:dyDescent="0.25">
      <c r="A213" t="s">
        <v>1021</v>
      </c>
    </row>
    <row r="214" spans="1:2" x14ac:dyDescent="0.25">
      <c r="A214" t="s">
        <v>78</v>
      </c>
    </row>
    <row r="215" spans="1:2" x14ac:dyDescent="0.25">
      <c r="A215" t="s">
        <v>1007</v>
      </c>
    </row>
    <row r="216" spans="1:2" x14ac:dyDescent="0.25">
      <c r="A216" t="s">
        <v>1040</v>
      </c>
    </row>
    <row r="217" spans="1:2" x14ac:dyDescent="0.25">
      <c r="A217" t="s">
        <v>1076</v>
      </c>
    </row>
    <row r="218" spans="1:2" x14ac:dyDescent="0.25">
      <c r="A218" t="s">
        <v>1077</v>
      </c>
    </row>
    <row r="219" spans="1:2" x14ac:dyDescent="0.25">
      <c r="A219" t="s">
        <v>30</v>
      </c>
      <c r="B219" t="s">
        <v>1078</v>
      </c>
    </row>
    <row r="220" spans="1:2" x14ac:dyDescent="0.25">
      <c r="A220" t="s">
        <v>62</v>
      </c>
    </row>
    <row r="221" spans="1:2" x14ac:dyDescent="0.25">
      <c r="A221" t="s">
        <v>40</v>
      </c>
    </row>
    <row r="222" spans="1:2" x14ac:dyDescent="0.25">
      <c r="A222" t="s">
        <v>30</v>
      </c>
    </row>
    <row r="223" spans="1:2" x14ac:dyDescent="0.25">
      <c r="A223" t="s">
        <v>1079</v>
      </c>
    </row>
    <row r="224" spans="1:2" x14ac:dyDescent="0.25">
      <c r="A224" t="s">
        <v>62</v>
      </c>
    </row>
    <row r="225" spans="1:1" x14ac:dyDescent="0.25">
      <c r="A225" t="s">
        <v>139</v>
      </c>
    </row>
    <row r="226" spans="1:1" x14ac:dyDescent="0.25">
      <c r="A226" t="s">
        <v>1060</v>
      </c>
    </row>
    <row r="227" spans="1:1" x14ac:dyDescent="0.25">
      <c r="A227" t="s">
        <v>1007</v>
      </c>
    </row>
    <row r="228" spans="1:1" x14ac:dyDescent="0.25">
      <c r="A228" t="s">
        <v>78</v>
      </c>
    </row>
    <row r="229" spans="1:1" x14ac:dyDescent="0.25">
      <c r="A229" t="s">
        <v>1080</v>
      </c>
    </row>
    <row r="230" spans="1:1" x14ac:dyDescent="0.25">
      <c r="A230" t="s">
        <v>1081</v>
      </c>
    </row>
    <row r="231" spans="1:1" x14ac:dyDescent="0.25">
      <c r="A231" t="s">
        <v>1082</v>
      </c>
    </row>
    <row r="232" spans="1:1" x14ac:dyDescent="0.25">
      <c r="A232" t="s">
        <v>1007</v>
      </c>
    </row>
    <row r="233" spans="1:1" x14ac:dyDescent="0.25">
      <c r="A233" t="s">
        <v>30</v>
      </c>
    </row>
    <row r="234" spans="1:1" x14ac:dyDescent="0.25">
      <c r="A234" t="s">
        <v>111</v>
      </c>
    </row>
    <row r="235" spans="1:1" x14ac:dyDescent="0.25">
      <c r="A235" t="s">
        <v>62</v>
      </c>
    </row>
    <row r="236" spans="1:1" x14ac:dyDescent="0.25">
      <c r="A236" t="s">
        <v>1083</v>
      </c>
    </row>
    <row r="237" spans="1:1" x14ac:dyDescent="0.25">
      <c r="A237" t="s">
        <v>1084</v>
      </c>
    </row>
    <row r="238" spans="1:1" x14ac:dyDescent="0.25">
      <c r="A238" t="s">
        <v>82</v>
      </c>
    </row>
    <row r="239" spans="1:1" x14ac:dyDescent="0.25">
      <c r="A239" t="s">
        <v>62</v>
      </c>
    </row>
    <row r="240" spans="1:1" x14ac:dyDescent="0.25">
      <c r="A240" t="s">
        <v>1085</v>
      </c>
    </row>
    <row r="241" spans="1:1" x14ac:dyDescent="0.25">
      <c r="A241" t="s">
        <v>1086</v>
      </c>
    </row>
    <row r="242" spans="1:1" x14ac:dyDescent="0.25">
      <c r="A242" t="s">
        <v>30</v>
      </c>
    </row>
    <row r="243" spans="1:1" x14ac:dyDescent="0.25">
      <c r="A243" t="s">
        <v>110</v>
      </c>
    </row>
    <row r="244" spans="1:1" x14ac:dyDescent="0.25">
      <c r="A244" t="s">
        <v>111</v>
      </c>
    </row>
    <row r="245" spans="1:1" x14ac:dyDescent="0.25">
      <c r="A245" t="s">
        <v>62</v>
      </c>
    </row>
    <row r="246" spans="1:1" x14ac:dyDescent="0.25">
      <c r="A246" t="s">
        <v>62</v>
      </c>
    </row>
    <row r="247" spans="1:1" x14ac:dyDescent="0.25">
      <c r="A247" t="s">
        <v>1087</v>
      </c>
    </row>
    <row r="248" spans="1:1" x14ac:dyDescent="0.25">
      <c r="A248" t="s">
        <v>1021</v>
      </c>
    </row>
    <row r="249" spans="1:1" x14ac:dyDescent="0.25">
      <c r="A249" t="s">
        <v>62</v>
      </c>
    </row>
    <row r="250" spans="1:1" x14ac:dyDescent="0.25">
      <c r="A250" t="s">
        <v>1024</v>
      </c>
    </row>
    <row r="251" spans="1:1" x14ac:dyDescent="0.25">
      <c r="A251" t="s">
        <v>62</v>
      </c>
    </row>
    <row r="252" spans="1:1" x14ac:dyDescent="0.25">
      <c r="A252" t="s">
        <v>111</v>
      </c>
    </row>
    <row r="253" spans="1:1" x14ac:dyDescent="0.25">
      <c r="A253" t="s">
        <v>1088</v>
      </c>
    </row>
    <row r="254" spans="1:1" x14ac:dyDescent="0.25">
      <c r="A254" t="s">
        <v>29</v>
      </c>
    </row>
    <row r="255" spans="1:1" x14ac:dyDescent="0.25">
      <c r="A255" t="s">
        <v>87</v>
      </c>
    </row>
    <row r="256" spans="1:1" x14ac:dyDescent="0.25">
      <c r="A256" t="s">
        <v>62</v>
      </c>
    </row>
    <row r="257" spans="1:1" x14ac:dyDescent="0.25">
      <c r="A257" t="s">
        <v>152</v>
      </c>
    </row>
    <row r="258" spans="1:1" x14ac:dyDescent="0.25">
      <c r="A258" t="s">
        <v>139</v>
      </c>
    </row>
    <row r="259" spans="1:1" x14ac:dyDescent="0.25">
      <c r="A259" t="s">
        <v>62</v>
      </c>
    </row>
    <row r="260" spans="1:1" x14ac:dyDescent="0.25">
      <c r="A260" t="s">
        <v>1024</v>
      </c>
    </row>
    <row r="261" spans="1:1" x14ac:dyDescent="0.25">
      <c r="A261" t="s">
        <v>1089</v>
      </c>
    </row>
    <row r="262" spans="1:1" x14ac:dyDescent="0.25">
      <c r="A262" t="s">
        <v>1026</v>
      </c>
    </row>
    <row r="263" spans="1:1" x14ac:dyDescent="0.25">
      <c r="A263" t="s">
        <v>62</v>
      </c>
    </row>
    <row r="264" spans="1:1" x14ac:dyDescent="0.25">
      <c r="A264" t="s">
        <v>1090</v>
      </c>
    </row>
    <row r="265" spans="1:1" x14ac:dyDescent="0.25">
      <c r="A265" t="s">
        <v>1091</v>
      </c>
    </row>
    <row r="266" spans="1:1" x14ac:dyDescent="0.25">
      <c r="A266" t="s">
        <v>156</v>
      </c>
    </row>
    <row r="267" spans="1:1" x14ac:dyDescent="0.25">
      <c r="A267" t="s">
        <v>30</v>
      </c>
    </row>
    <row r="268" spans="1:1" x14ac:dyDescent="0.25">
      <c r="A268" t="s">
        <v>157</v>
      </c>
    </row>
    <row r="269" spans="1:1" x14ac:dyDescent="0.25">
      <c r="A269" t="s">
        <v>1092</v>
      </c>
    </row>
    <row r="270" spans="1:1" x14ac:dyDescent="0.25">
      <c r="A270" t="s">
        <v>62</v>
      </c>
    </row>
    <row r="271" spans="1:1" x14ac:dyDescent="0.25">
      <c r="A271" t="s">
        <v>1093</v>
      </c>
    </row>
    <row r="272" spans="1:1" x14ac:dyDescent="0.25">
      <c r="A272" t="s">
        <v>1094</v>
      </c>
    </row>
    <row r="273" spans="1:2" x14ac:dyDescent="0.25">
      <c r="A273" t="s">
        <v>1095</v>
      </c>
    </row>
    <row r="274" spans="1:2" x14ac:dyDescent="0.25">
      <c r="A274" t="s">
        <v>47</v>
      </c>
    </row>
    <row r="275" spans="1:2" x14ac:dyDescent="0.25">
      <c r="A275" t="s">
        <v>62</v>
      </c>
    </row>
    <row r="276" spans="1:2" x14ac:dyDescent="0.25">
      <c r="A276" t="s">
        <v>1096</v>
      </c>
    </row>
    <row r="277" spans="1:2" x14ac:dyDescent="0.25">
      <c r="A277" t="s">
        <v>62</v>
      </c>
    </row>
    <row r="278" spans="1:2" x14ac:dyDescent="0.25">
      <c r="A278" t="s">
        <v>1097</v>
      </c>
    </row>
    <row r="279" spans="1:2" x14ac:dyDescent="0.25">
      <c r="A279" t="s">
        <v>1098</v>
      </c>
    </row>
    <row r="280" spans="1:2" x14ac:dyDescent="0.25">
      <c r="A280" t="s">
        <v>62</v>
      </c>
    </row>
    <row r="281" spans="1:2" x14ac:dyDescent="0.25">
      <c r="A281" t="s">
        <v>29</v>
      </c>
    </row>
    <row r="282" spans="1:2" x14ac:dyDescent="0.25">
      <c r="A282" t="s">
        <v>1024</v>
      </c>
    </row>
    <row r="283" spans="1:2" x14ac:dyDescent="0.25">
      <c r="A283" t="s">
        <v>1024</v>
      </c>
    </row>
    <row r="284" spans="1:2" x14ac:dyDescent="0.25">
      <c r="A284" t="s">
        <v>1024</v>
      </c>
    </row>
    <row r="285" spans="1:2" x14ac:dyDescent="0.25">
      <c r="A285" t="s">
        <v>1020</v>
      </c>
    </row>
    <row r="286" spans="1:2" x14ac:dyDescent="0.25">
      <c r="A286" t="s">
        <v>1099</v>
      </c>
      <c r="B286" t="s">
        <v>1100</v>
      </c>
    </row>
    <row r="287" spans="1:2" x14ac:dyDescent="0.25">
      <c r="A287" t="s">
        <v>121</v>
      </c>
    </row>
    <row r="288" spans="1:2" x14ac:dyDescent="0.25">
      <c r="A288" t="s">
        <v>62</v>
      </c>
    </row>
    <row r="289" spans="1:2" x14ac:dyDescent="0.25">
      <c r="A289" t="s">
        <v>46</v>
      </c>
    </row>
    <row r="290" spans="1:2" x14ac:dyDescent="0.25">
      <c r="A290" t="s">
        <v>1024</v>
      </c>
    </row>
    <row r="291" spans="1:2" x14ac:dyDescent="0.25">
      <c r="A291" t="s">
        <v>78</v>
      </c>
    </row>
    <row r="292" spans="1:2" x14ac:dyDescent="0.25">
      <c r="A292" t="s">
        <v>121</v>
      </c>
    </row>
    <row r="293" spans="1:2" x14ac:dyDescent="0.25">
      <c r="A293" t="s">
        <v>1101</v>
      </c>
      <c r="B293" t="s">
        <v>1102</v>
      </c>
    </row>
    <row r="294" spans="1:2" x14ac:dyDescent="0.25">
      <c r="A294" t="s">
        <v>82</v>
      </c>
    </row>
    <row r="295" spans="1:2" x14ac:dyDescent="0.25">
      <c r="A295" t="s">
        <v>1049</v>
      </c>
    </row>
    <row r="296" spans="1:2" x14ac:dyDescent="0.25">
      <c r="A296" t="s">
        <v>574</v>
      </c>
    </row>
    <row r="297" spans="1:2" x14ac:dyDescent="0.25">
      <c r="A297" t="s">
        <v>78</v>
      </c>
    </row>
    <row r="298" spans="1:2" x14ac:dyDescent="0.25">
      <c r="A298" t="s">
        <v>60</v>
      </c>
    </row>
    <row r="299" spans="1:2" x14ac:dyDescent="0.25">
      <c r="A299" t="s">
        <v>1103</v>
      </c>
    </row>
    <row r="300" spans="1:2" x14ac:dyDescent="0.25">
      <c r="A300" t="s">
        <v>1104</v>
      </c>
    </row>
    <row r="301" spans="1:2" x14ac:dyDescent="0.25">
      <c r="A301" t="s">
        <v>1020</v>
      </c>
    </row>
    <row r="302" spans="1:2" x14ac:dyDescent="0.25">
      <c r="A302" t="s">
        <v>47</v>
      </c>
    </row>
    <row r="303" spans="1:2" x14ac:dyDescent="0.25">
      <c r="A303" t="s">
        <v>1105</v>
      </c>
      <c r="B303" t="s">
        <v>1106</v>
      </c>
    </row>
    <row r="304" spans="1:2" x14ac:dyDescent="0.25">
      <c r="A304" t="s">
        <v>62</v>
      </c>
    </row>
    <row r="305" spans="1:3" x14ac:dyDescent="0.25">
      <c r="A305" t="s">
        <v>1107</v>
      </c>
    </row>
    <row r="306" spans="1:3" x14ac:dyDescent="0.25">
      <c r="A306" t="s">
        <v>1108</v>
      </c>
    </row>
    <row r="307" spans="1:3" x14ac:dyDescent="0.25">
      <c r="A307" t="s">
        <v>87</v>
      </c>
    </row>
    <row r="308" spans="1:3" x14ac:dyDescent="0.25">
      <c r="A308" t="s">
        <v>1109</v>
      </c>
    </row>
    <row r="309" spans="1:3" x14ac:dyDescent="0.25">
      <c r="A309" t="s">
        <v>87</v>
      </c>
    </row>
    <row r="310" spans="1:3" x14ac:dyDescent="0.25">
      <c r="A310" t="s">
        <v>1007</v>
      </c>
    </row>
    <row r="311" spans="1:3" x14ac:dyDescent="0.25">
      <c r="A311" t="s">
        <v>62</v>
      </c>
      <c r="B311" t="s">
        <v>1024</v>
      </c>
      <c r="C311" t="s">
        <v>1110</v>
      </c>
    </row>
    <row r="312" spans="1:3" x14ac:dyDescent="0.25">
      <c r="A312" t="s">
        <v>1111</v>
      </c>
    </row>
    <row r="313" spans="1:3" x14ac:dyDescent="0.25">
      <c r="A313" t="s">
        <v>1030</v>
      </c>
    </row>
    <row r="314" spans="1:3" x14ac:dyDescent="0.25">
      <c r="A314" t="s">
        <v>1007</v>
      </c>
    </row>
    <row r="315" spans="1:3" x14ac:dyDescent="0.25">
      <c r="A315" t="s">
        <v>62</v>
      </c>
    </row>
    <row r="316" spans="1:3" x14ac:dyDescent="0.25">
      <c r="A316" t="s">
        <v>62</v>
      </c>
    </row>
    <row r="317" spans="1:3" x14ac:dyDescent="0.25">
      <c r="A317" t="s">
        <v>62</v>
      </c>
    </row>
    <row r="318" spans="1:3" x14ac:dyDescent="0.25">
      <c r="A318" t="s">
        <v>1112</v>
      </c>
    </row>
    <row r="319" spans="1:3" x14ac:dyDescent="0.25">
      <c r="A319" t="s">
        <v>1113</v>
      </c>
    </row>
    <row r="320" spans="1:3" x14ac:dyDescent="0.25">
      <c r="A320" t="s">
        <v>62</v>
      </c>
    </row>
    <row r="321" spans="1:1" x14ac:dyDescent="0.25">
      <c r="A321" t="s">
        <v>29</v>
      </c>
    </row>
    <row r="322" spans="1:1" x14ac:dyDescent="0.25">
      <c r="A322" t="s">
        <v>1010</v>
      </c>
    </row>
    <row r="323" spans="1:1" x14ac:dyDescent="0.25">
      <c r="A323" t="s">
        <v>87</v>
      </c>
    </row>
    <row r="324" spans="1:1" x14ac:dyDescent="0.25">
      <c r="A324" t="s">
        <v>87</v>
      </c>
    </row>
    <row r="325" spans="1:1" x14ac:dyDescent="0.25">
      <c r="A325" t="s">
        <v>46</v>
      </c>
    </row>
    <row r="326" spans="1:1" x14ac:dyDescent="0.25">
      <c r="A326" t="s">
        <v>29</v>
      </c>
    </row>
    <row r="327" spans="1:1" x14ac:dyDescent="0.25">
      <c r="A327" t="s">
        <v>1114</v>
      </c>
    </row>
    <row r="328" spans="1:1" x14ac:dyDescent="0.25">
      <c r="A328" t="s">
        <v>1115</v>
      </c>
    </row>
    <row r="329" spans="1:1" x14ac:dyDescent="0.25">
      <c r="A329" t="s">
        <v>1064</v>
      </c>
    </row>
    <row r="330" spans="1:1" x14ac:dyDescent="0.25">
      <c r="A330" t="s">
        <v>26</v>
      </c>
    </row>
    <row r="331" spans="1:1" x14ac:dyDescent="0.25">
      <c r="A331" t="s">
        <v>62</v>
      </c>
    </row>
    <row r="332" spans="1:1" x14ac:dyDescent="0.25">
      <c r="A332" t="s">
        <v>1020</v>
      </c>
    </row>
    <row r="333" spans="1:1" x14ac:dyDescent="0.25">
      <c r="A333" t="s">
        <v>1032</v>
      </c>
    </row>
    <row r="334" spans="1:1" x14ac:dyDescent="0.25">
      <c r="A334" t="s">
        <v>1007</v>
      </c>
    </row>
    <row r="335" spans="1:1" x14ac:dyDescent="0.25">
      <c r="A335" t="s">
        <v>1116</v>
      </c>
    </row>
    <row r="336" spans="1:1" x14ac:dyDescent="0.25">
      <c r="A336" t="s">
        <v>78</v>
      </c>
    </row>
    <row r="337" spans="1:1" x14ac:dyDescent="0.25">
      <c r="A337" t="s">
        <v>1020</v>
      </c>
    </row>
    <row r="338" spans="1:1" x14ac:dyDescent="0.25">
      <c r="A338" t="s">
        <v>96</v>
      </c>
    </row>
    <row r="339" spans="1:1" x14ac:dyDescent="0.25">
      <c r="A339" t="s">
        <v>1024</v>
      </c>
    </row>
    <row r="340" spans="1:1" x14ac:dyDescent="0.25">
      <c r="A340" t="s">
        <v>96</v>
      </c>
    </row>
    <row r="341" spans="1:1" x14ac:dyDescent="0.25">
      <c r="A341" t="s">
        <v>1057</v>
      </c>
    </row>
    <row r="342" spans="1:1" x14ac:dyDescent="0.25">
      <c r="A342" t="s">
        <v>1117</v>
      </c>
    </row>
    <row r="343" spans="1:1" x14ac:dyDescent="0.25">
      <c r="A343" t="s">
        <v>1086</v>
      </c>
    </row>
    <row r="344" spans="1:1" x14ac:dyDescent="0.25">
      <c r="A344" t="s">
        <v>184</v>
      </c>
    </row>
    <row r="345" spans="1:1" x14ac:dyDescent="0.25">
      <c r="A345" t="s">
        <v>198</v>
      </c>
    </row>
    <row r="346" spans="1:1" x14ac:dyDescent="0.25">
      <c r="A346" t="s">
        <v>33</v>
      </c>
    </row>
    <row r="347" spans="1:1" x14ac:dyDescent="0.25">
      <c r="A347" t="s">
        <v>1118</v>
      </c>
    </row>
    <row r="348" spans="1:1" x14ac:dyDescent="0.25">
      <c r="A348" t="s">
        <v>111</v>
      </c>
    </row>
    <row r="349" spans="1:1" x14ac:dyDescent="0.25">
      <c r="A349" t="s">
        <v>96</v>
      </c>
    </row>
    <row r="350" spans="1:1" x14ac:dyDescent="0.25">
      <c r="A350" t="s">
        <v>111</v>
      </c>
    </row>
    <row r="351" spans="1:1" x14ac:dyDescent="0.25">
      <c r="A351" t="s">
        <v>26</v>
      </c>
    </row>
    <row r="352" spans="1:1" x14ac:dyDescent="0.25">
      <c r="A352" t="s">
        <v>78</v>
      </c>
    </row>
    <row r="353" spans="1:2" x14ac:dyDescent="0.25">
      <c r="A353" t="s">
        <v>152</v>
      </c>
    </row>
    <row r="354" spans="1:2" x14ac:dyDescent="0.25">
      <c r="A354" t="s">
        <v>1119</v>
      </c>
    </row>
    <row r="355" spans="1:2" x14ac:dyDescent="0.25">
      <c r="A355" t="s">
        <v>26</v>
      </c>
    </row>
    <row r="356" spans="1:2" x14ac:dyDescent="0.25">
      <c r="A356" t="s">
        <v>1120</v>
      </c>
    </row>
    <row r="357" spans="1:2" x14ac:dyDescent="0.25">
      <c r="A357" t="s">
        <v>166</v>
      </c>
    </row>
    <row r="358" spans="1:2" x14ac:dyDescent="0.25">
      <c r="A358" t="s">
        <v>166</v>
      </c>
    </row>
    <row r="359" spans="1:2" x14ac:dyDescent="0.25">
      <c r="A359" t="s">
        <v>1121</v>
      </c>
    </row>
    <row r="360" spans="1:2" x14ac:dyDescent="0.25">
      <c r="A360" t="s">
        <v>1122</v>
      </c>
    </row>
    <row r="361" spans="1:2" x14ac:dyDescent="0.25">
      <c r="A361" t="s">
        <v>74</v>
      </c>
    </row>
    <row r="362" spans="1:2" x14ac:dyDescent="0.25">
      <c r="A362" t="s">
        <v>72</v>
      </c>
    </row>
    <row r="363" spans="1:2" x14ac:dyDescent="0.25">
      <c r="A363" t="s">
        <v>1123</v>
      </c>
    </row>
    <row r="364" spans="1:2" x14ac:dyDescent="0.25">
      <c r="A364" t="s">
        <v>78</v>
      </c>
    </row>
    <row r="365" spans="1:2" x14ac:dyDescent="0.25">
      <c r="A365" t="s">
        <v>1010</v>
      </c>
    </row>
    <row r="366" spans="1:2" x14ac:dyDescent="0.25">
      <c r="A366" t="s">
        <v>1024</v>
      </c>
    </row>
    <row r="367" spans="1:2" x14ac:dyDescent="0.25">
      <c r="A367" t="s">
        <v>26</v>
      </c>
    </row>
    <row r="368" spans="1:2" x14ac:dyDescent="0.25">
      <c r="A368" t="s">
        <v>1083</v>
      </c>
      <c r="B368" t="s">
        <v>1124</v>
      </c>
    </row>
    <row r="369" spans="1:3" x14ac:dyDescent="0.25">
      <c r="A369" t="s">
        <v>1125</v>
      </c>
    </row>
    <row r="370" spans="1:3" x14ac:dyDescent="0.25">
      <c r="A370" t="s">
        <v>1007</v>
      </c>
    </row>
    <row r="371" spans="1:3" x14ac:dyDescent="0.25">
      <c r="A371" t="s">
        <v>1126</v>
      </c>
    </row>
    <row r="372" spans="1:3" x14ac:dyDescent="0.25">
      <c r="A372" t="s">
        <v>26</v>
      </c>
    </row>
    <row r="373" spans="1:3" x14ac:dyDescent="0.25">
      <c r="A373" t="s">
        <v>1127</v>
      </c>
      <c r="B373" t="s">
        <v>35</v>
      </c>
      <c r="C373" t="s">
        <v>1024</v>
      </c>
    </row>
    <row r="374" spans="1:3" x14ac:dyDescent="0.25">
      <c r="A374" t="s">
        <v>1020</v>
      </c>
    </row>
    <row r="375" spans="1:3" x14ac:dyDescent="0.25">
      <c r="A375" t="s">
        <v>1117</v>
      </c>
    </row>
    <row r="376" spans="1:3" x14ac:dyDescent="0.25">
      <c r="A376" t="s">
        <v>1128</v>
      </c>
    </row>
    <row r="377" spans="1:3" x14ac:dyDescent="0.25">
      <c r="A377" t="s">
        <v>1127</v>
      </c>
    </row>
    <row r="378" spans="1:3" x14ac:dyDescent="0.25">
      <c r="A378" t="s">
        <v>723</v>
      </c>
    </row>
    <row r="379" spans="1:3" x14ac:dyDescent="0.25">
      <c r="A379" t="s">
        <v>1010</v>
      </c>
    </row>
    <row r="380" spans="1:3" x14ac:dyDescent="0.25">
      <c r="A380" t="s">
        <v>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34"/>
  <sheetViews>
    <sheetView workbookViewId="0"/>
  </sheetViews>
  <sheetFormatPr defaultRowHeight="15" x14ac:dyDescent="0.25"/>
  <cols>
    <col min="1" max="3" width="30.7109375" customWidth="1"/>
  </cols>
  <sheetData>
    <row r="1" spans="1:2" s="3" customFormat="1" x14ac:dyDescent="0.25">
      <c r="A1" s="9" t="str">
        <f>HYPERLINK("#Tabulka!A114","Jaký máte pocit z této osobnosti?")</f>
        <v>Jaký máte pocit z této osobnosti?</v>
      </c>
    </row>
    <row r="2" spans="1:2" x14ac:dyDescent="0.25">
      <c r="A2" t="s">
        <v>201</v>
      </c>
      <c r="B2" t="s">
        <v>328</v>
      </c>
    </row>
    <row r="3" spans="1:2" x14ac:dyDescent="0.25">
      <c r="A3" t="s">
        <v>201</v>
      </c>
      <c r="B3" t="s">
        <v>1129</v>
      </c>
    </row>
    <row r="4" spans="1:2" x14ac:dyDescent="0.25">
      <c r="A4" t="s">
        <v>203</v>
      </c>
      <c r="B4" t="s">
        <v>74</v>
      </c>
    </row>
    <row r="5" spans="1:2" x14ac:dyDescent="0.25">
      <c r="A5" t="s">
        <v>203</v>
      </c>
      <c r="B5" t="s">
        <v>331</v>
      </c>
    </row>
    <row r="6" spans="1:2" x14ac:dyDescent="0.25">
      <c r="A6" t="s">
        <v>203</v>
      </c>
      <c r="B6" t="s">
        <v>1130</v>
      </c>
    </row>
    <row r="7" spans="1:2" x14ac:dyDescent="0.25">
      <c r="A7" t="s">
        <v>203</v>
      </c>
      <c r="B7" t="s">
        <v>1131</v>
      </c>
    </row>
    <row r="8" spans="1:2" x14ac:dyDescent="0.25">
      <c r="A8" t="s">
        <v>201</v>
      </c>
      <c r="B8" t="s">
        <v>1132</v>
      </c>
    </row>
    <row r="9" spans="1:2" x14ac:dyDescent="0.25">
      <c r="A9" t="s">
        <v>201</v>
      </c>
      <c r="B9" t="s">
        <v>1133</v>
      </c>
    </row>
    <row r="10" spans="1:2" x14ac:dyDescent="0.25">
      <c r="A10" t="s">
        <v>208</v>
      </c>
      <c r="B10" t="s">
        <v>1134</v>
      </c>
    </row>
    <row r="11" spans="1:2" x14ac:dyDescent="0.25">
      <c r="A11" t="s">
        <v>203</v>
      </c>
      <c r="B11" t="s">
        <v>1135</v>
      </c>
    </row>
    <row r="12" spans="1:2" x14ac:dyDescent="0.25">
      <c r="A12" t="s">
        <v>221</v>
      </c>
      <c r="B12" t="s">
        <v>1136</v>
      </c>
    </row>
    <row r="13" spans="1:2" x14ac:dyDescent="0.25">
      <c r="A13" t="s">
        <v>221</v>
      </c>
      <c r="B13" t="s">
        <v>375</v>
      </c>
    </row>
    <row r="14" spans="1:2" x14ac:dyDescent="0.25">
      <c r="A14" t="s">
        <v>203</v>
      </c>
      <c r="B14" t="s">
        <v>1137</v>
      </c>
    </row>
    <row r="15" spans="1:2" x14ac:dyDescent="0.25">
      <c r="A15" t="s">
        <v>201</v>
      </c>
      <c r="B15" t="s">
        <v>1138</v>
      </c>
    </row>
    <row r="16" spans="1:2" x14ac:dyDescent="0.25">
      <c r="A16" t="s">
        <v>201</v>
      </c>
      <c r="B16" t="s">
        <v>1139</v>
      </c>
    </row>
    <row r="17" spans="1:2" x14ac:dyDescent="0.25">
      <c r="A17" t="s">
        <v>203</v>
      </c>
      <c r="B17" t="s">
        <v>1140</v>
      </c>
    </row>
    <row r="18" spans="1:2" x14ac:dyDescent="0.25">
      <c r="A18" t="s">
        <v>201</v>
      </c>
      <c r="B18" t="s">
        <v>212</v>
      </c>
    </row>
    <row r="19" spans="1:2" x14ac:dyDescent="0.25">
      <c r="A19" t="s">
        <v>203</v>
      </c>
      <c r="B19" t="s">
        <v>214</v>
      </c>
    </row>
    <row r="20" spans="1:2" x14ac:dyDescent="0.25">
      <c r="A20" t="s">
        <v>201</v>
      </c>
      <c r="B20" t="s">
        <v>552</v>
      </c>
    </row>
    <row r="21" spans="1:2" x14ac:dyDescent="0.25">
      <c r="A21" t="s">
        <v>203</v>
      </c>
      <c r="B21" t="s">
        <v>1141</v>
      </c>
    </row>
    <row r="22" spans="1:2" x14ac:dyDescent="0.25">
      <c r="A22" t="s">
        <v>221</v>
      </c>
      <c r="B22" t="s">
        <v>375</v>
      </c>
    </row>
    <row r="23" spans="1:2" x14ac:dyDescent="0.25">
      <c r="A23" t="s">
        <v>221</v>
      </c>
      <c r="B23" t="s">
        <v>1142</v>
      </c>
    </row>
    <row r="24" spans="1:2" x14ac:dyDescent="0.25">
      <c r="A24" t="s">
        <v>208</v>
      </c>
      <c r="B24" t="s">
        <v>1143</v>
      </c>
    </row>
    <row r="25" spans="1:2" x14ac:dyDescent="0.25">
      <c r="A25" t="s">
        <v>201</v>
      </c>
      <c r="B25" t="s">
        <v>1144</v>
      </c>
    </row>
    <row r="26" spans="1:2" x14ac:dyDescent="0.25">
      <c r="A26" t="s">
        <v>203</v>
      </c>
      <c r="B26" t="s">
        <v>1145</v>
      </c>
    </row>
    <row r="27" spans="1:2" x14ac:dyDescent="0.25">
      <c r="A27" t="s">
        <v>201</v>
      </c>
      <c r="B27" t="s">
        <v>260</v>
      </c>
    </row>
    <row r="28" spans="1:2" x14ac:dyDescent="0.25">
      <c r="A28" t="s">
        <v>201</v>
      </c>
      <c r="B28" t="s">
        <v>1146</v>
      </c>
    </row>
    <row r="29" spans="1:2" x14ac:dyDescent="0.25">
      <c r="A29" t="s">
        <v>203</v>
      </c>
      <c r="B29" t="s">
        <v>1147</v>
      </c>
    </row>
    <row r="30" spans="1:2" x14ac:dyDescent="0.25">
      <c r="A30" t="s">
        <v>203</v>
      </c>
      <c r="B30" t="s">
        <v>1148</v>
      </c>
    </row>
    <row r="31" spans="1:2" x14ac:dyDescent="0.25">
      <c r="A31" t="s">
        <v>221</v>
      </c>
      <c r="B31" t="s">
        <v>1149</v>
      </c>
    </row>
    <row r="32" spans="1:2" x14ac:dyDescent="0.25">
      <c r="A32" t="s">
        <v>201</v>
      </c>
      <c r="B32" t="s">
        <v>229</v>
      </c>
    </row>
    <row r="33" spans="1:2" x14ac:dyDescent="0.25">
      <c r="A33" t="s">
        <v>203</v>
      </c>
      <c r="B33" t="s">
        <v>540</v>
      </c>
    </row>
    <row r="34" spans="1:2" x14ac:dyDescent="0.25">
      <c r="A34" t="s">
        <v>201</v>
      </c>
      <c r="B34" t="s">
        <v>256</v>
      </c>
    </row>
    <row r="35" spans="1:2" x14ac:dyDescent="0.25">
      <c r="A35" t="s">
        <v>201</v>
      </c>
      <c r="B35" t="s">
        <v>1150</v>
      </c>
    </row>
    <row r="36" spans="1:2" x14ac:dyDescent="0.25">
      <c r="A36" t="s">
        <v>203</v>
      </c>
      <c r="B36" t="s">
        <v>229</v>
      </c>
    </row>
    <row r="37" spans="1:2" x14ac:dyDescent="0.25">
      <c r="A37" t="s">
        <v>203</v>
      </c>
      <c r="B37" t="s">
        <v>323</v>
      </c>
    </row>
    <row r="38" spans="1:2" x14ac:dyDescent="0.25">
      <c r="A38" t="s">
        <v>226</v>
      </c>
      <c r="B38" t="s">
        <v>78</v>
      </c>
    </row>
    <row r="39" spans="1:2" x14ac:dyDescent="0.25">
      <c r="A39" t="s">
        <v>201</v>
      </c>
      <c r="B39" t="s">
        <v>231</v>
      </c>
    </row>
    <row r="40" spans="1:2" x14ac:dyDescent="0.25">
      <c r="A40" t="s">
        <v>201</v>
      </c>
      <c r="B40" t="s">
        <v>44</v>
      </c>
    </row>
    <row r="41" spans="1:2" x14ac:dyDescent="0.25">
      <c r="A41" t="s">
        <v>203</v>
      </c>
      <c r="B41" t="s">
        <v>233</v>
      </c>
    </row>
    <row r="42" spans="1:2" x14ac:dyDescent="0.25">
      <c r="A42" t="s">
        <v>203</v>
      </c>
      <c r="B42" t="s">
        <v>234</v>
      </c>
    </row>
    <row r="43" spans="1:2" x14ac:dyDescent="0.25">
      <c r="A43" t="s">
        <v>203</v>
      </c>
      <c r="B43" t="s">
        <v>1151</v>
      </c>
    </row>
    <row r="44" spans="1:2" x14ac:dyDescent="0.25">
      <c r="A44" t="s">
        <v>201</v>
      </c>
      <c r="B44" t="s">
        <v>1152</v>
      </c>
    </row>
    <row r="45" spans="1:2" x14ac:dyDescent="0.25">
      <c r="A45" t="s">
        <v>203</v>
      </c>
      <c r="B45" t="s">
        <v>1153</v>
      </c>
    </row>
    <row r="46" spans="1:2" x14ac:dyDescent="0.25">
      <c r="A46" t="s">
        <v>201</v>
      </c>
      <c r="B46" t="s">
        <v>1154</v>
      </c>
    </row>
    <row r="47" spans="1:2" x14ac:dyDescent="0.25">
      <c r="A47" t="s">
        <v>201</v>
      </c>
      <c r="B47" t="s">
        <v>1155</v>
      </c>
    </row>
    <row r="48" spans="1:2" x14ac:dyDescent="0.25">
      <c r="A48" t="s">
        <v>201</v>
      </c>
      <c r="B48" t="s">
        <v>1156</v>
      </c>
    </row>
    <row r="49" spans="1:2" x14ac:dyDescent="0.25">
      <c r="A49" t="s">
        <v>208</v>
      </c>
      <c r="B49" t="s">
        <v>1157</v>
      </c>
    </row>
    <row r="50" spans="1:2" x14ac:dyDescent="0.25">
      <c r="A50" t="s">
        <v>201</v>
      </c>
      <c r="B50" t="s">
        <v>1158</v>
      </c>
    </row>
    <row r="51" spans="1:2" x14ac:dyDescent="0.25">
      <c r="A51" t="s">
        <v>203</v>
      </c>
      <c r="B51" t="s">
        <v>278</v>
      </c>
    </row>
    <row r="52" spans="1:2" x14ac:dyDescent="0.25">
      <c r="A52" t="s">
        <v>203</v>
      </c>
      <c r="B52" t="s">
        <v>53</v>
      </c>
    </row>
    <row r="53" spans="1:2" x14ac:dyDescent="0.25">
      <c r="A53" t="s">
        <v>203</v>
      </c>
      <c r="B53" t="s">
        <v>441</v>
      </c>
    </row>
    <row r="54" spans="1:2" x14ac:dyDescent="0.25">
      <c r="A54" t="s">
        <v>203</v>
      </c>
      <c r="B54" t="s">
        <v>1159</v>
      </c>
    </row>
    <row r="55" spans="1:2" x14ac:dyDescent="0.25">
      <c r="A55" t="s">
        <v>203</v>
      </c>
      <c r="B55" t="s">
        <v>1160</v>
      </c>
    </row>
    <row r="56" spans="1:2" x14ac:dyDescent="0.25">
      <c r="A56" t="s">
        <v>203</v>
      </c>
      <c r="B56" t="s">
        <v>1161</v>
      </c>
    </row>
    <row r="57" spans="1:2" x14ac:dyDescent="0.25">
      <c r="A57" t="s">
        <v>226</v>
      </c>
      <c r="B57" t="s">
        <v>82</v>
      </c>
    </row>
    <row r="58" spans="1:2" x14ac:dyDescent="0.25">
      <c r="A58" t="s">
        <v>203</v>
      </c>
      <c r="B58" t="s">
        <v>234</v>
      </c>
    </row>
    <row r="59" spans="1:2" x14ac:dyDescent="0.25">
      <c r="A59" t="s">
        <v>201</v>
      </c>
      <c r="B59" t="s">
        <v>1162</v>
      </c>
    </row>
    <row r="60" spans="1:2" x14ac:dyDescent="0.25">
      <c r="A60" t="s">
        <v>201</v>
      </c>
      <c r="B60" t="s">
        <v>376</v>
      </c>
    </row>
    <row r="61" spans="1:2" x14ac:dyDescent="0.25">
      <c r="A61" t="s">
        <v>221</v>
      </c>
      <c r="B61" t="s">
        <v>1163</v>
      </c>
    </row>
    <row r="62" spans="1:2" x14ac:dyDescent="0.25">
      <c r="A62" t="s">
        <v>201</v>
      </c>
      <c r="B62" t="s">
        <v>1164</v>
      </c>
    </row>
    <row r="63" spans="1:2" x14ac:dyDescent="0.25">
      <c r="A63" t="s">
        <v>201</v>
      </c>
      <c r="B63" t="s">
        <v>1165</v>
      </c>
    </row>
    <row r="64" spans="1:2" x14ac:dyDescent="0.25">
      <c r="A64" t="s">
        <v>201</v>
      </c>
      <c r="B64" t="s">
        <v>760</v>
      </c>
    </row>
    <row r="65" spans="1:2" x14ac:dyDescent="0.25">
      <c r="A65" t="s">
        <v>203</v>
      </c>
      <c r="B65" t="s">
        <v>1166</v>
      </c>
    </row>
    <row r="66" spans="1:2" x14ac:dyDescent="0.25">
      <c r="A66" t="s">
        <v>203</v>
      </c>
      <c r="B66" t="s">
        <v>769</v>
      </c>
    </row>
    <row r="67" spans="1:2" x14ac:dyDescent="0.25">
      <c r="A67" t="s">
        <v>203</v>
      </c>
      <c r="B67" t="s">
        <v>470</v>
      </c>
    </row>
    <row r="68" spans="1:2" x14ac:dyDescent="0.25">
      <c r="A68" t="s">
        <v>221</v>
      </c>
      <c r="B68" t="s">
        <v>1167</v>
      </c>
    </row>
    <row r="69" spans="1:2" x14ac:dyDescent="0.25">
      <c r="A69" t="s">
        <v>203</v>
      </c>
      <c r="B69" t="s">
        <v>411</v>
      </c>
    </row>
    <row r="70" spans="1:2" x14ac:dyDescent="0.25">
      <c r="A70" t="s">
        <v>203</v>
      </c>
      <c r="B70" t="s">
        <v>1168</v>
      </c>
    </row>
    <row r="71" spans="1:2" x14ac:dyDescent="0.25">
      <c r="A71" t="s">
        <v>203</v>
      </c>
      <c r="B71" t="s">
        <v>1169</v>
      </c>
    </row>
    <row r="72" spans="1:2" x14ac:dyDescent="0.25">
      <c r="A72" t="s">
        <v>208</v>
      </c>
      <c r="B72" t="s">
        <v>291</v>
      </c>
    </row>
    <row r="73" spans="1:2" x14ac:dyDescent="0.25">
      <c r="A73" t="s">
        <v>201</v>
      </c>
      <c r="B73" t="s">
        <v>1170</v>
      </c>
    </row>
    <row r="74" spans="1:2" x14ac:dyDescent="0.25">
      <c r="A74" t="s">
        <v>221</v>
      </c>
      <c r="B74" t="s">
        <v>1171</v>
      </c>
    </row>
    <row r="75" spans="1:2" x14ac:dyDescent="0.25">
      <c r="A75" t="s">
        <v>221</v>
      </c>
      <c r="B75" t="s">
        <v>263</v>
      </c>
    </row>
    <row r="76" spans="1:2" x14ac:dyDescent="0.25">
      <c r="A76" t="s">
        <v>203</v>
      </c>
      <c r="B76" t="s">
        <v>1172</v>
      </c>
    </row>
    <row r="77" spans="1:2" x14ac:dyDescent="0.25">
      <c r="A77" t="s">
        <v>201</v>
      </c>
      <c r="B77" t="s">
        <v>1173</v>
      </c>
    </row>
    <row r="78" spans="1:2" x14ac:dyDescent="0.25">
      <c r="A78" t="s">
        <v>221</v>
      </c>
      <c r="B78" t="s">
        <v>266</v>
      </c>
    </row>
    <row r="79" spans="1:2" x14ac:dyDescent="0.25">
      <c r="A79" t="s">
        <v>203</v>
      </c>
      <c r="B79" t="s">
        <v>1095</v>
      </c>
    </row>
    <row r="80" spans="1:2" x14ac:dyDescent="0.25">
      <c r="A80" t="s">
        <v>221</v>
      </c>
      <c r="B80" t="s">
        <v>1174</v>
      </c>
    </row>
    <row r="81" spans="1:2" x14ac:dyDescent="0.25">
      <c r="A81" t="s">
        <v>203</v>
      </c>
      <c r="B81" t="s">
        <v>53</v>
      </c>
    </row>
    <row r="82" spans="1:2" x14ac:dyDescent="0.25">
      <c r="A82" t="s">
        <v>201</v>
      </c>
      <c r="B82" t="s">
        <v>263</v>
      </c>
    </row>
    <row r="83" spans="1:2" x14ac:dyDescent="0.25">
      <c r="A83" t="s">
        <v>203</v>
      </c>
      <c r="B83" t="s">
        <v>269</v>
      </c>
    </row>
    <row r="84" spans="1:2" x14ac:dyDescent="0.25">
      <c r="A84" t="s">
        <v>201</v>
      </c>
      <c r="B84" t="s">
        <v>1175</v>
      </c>
    </row>
    <row r="85" spans="1:2" x14ac:dyDescent="0.25">
      <c r="A85" t="s">
        <v>221</v>
      </c>
      <c r="B85" t="s">
        <v>1176</v>
      </c>
    </row>
    <row r="86" spans="1:2" x14ac:dyDescent="0.25">
      <c r="A86" t="s">
        <v>221</v>
      </c>
      <c r="B86" t="s">
        <v>1177</v>
      </c>
    </row>
    <row r="87" spans="1:2" x14ac:dyDescent="0.25">
      <c r="A87" t="s">
        <v>221</v>
      </c>
      <c r="B87" t="s">
        <v>1178</v>
      </c>
    </row>
    <row r="88" spans="1:2" x14ac:dyDescent="0.25">
      <c r="A88" t="s">
        <v>201</v>
      </c>
      <c r="B88" t="s">
        <v>212</v>
      </c>
    </row>
    <row r="89" spans="1:2" x14ac:dyDescent="0.25">
      <c r="A89" t="s">
        <v>201</v>
      </c>
      <c r="B89" t="s">
        <v>1179</v>
      </c>
    </row>
    <row r="90" spans="1:2" x14ac:dyDescent="0.25">
      <c r="A90" t="s">
        <v>221</v>
      </c>
      <c r="B90" t="s">
        <v>1007</v>
      </c>
    </row>
    <row r="91" spans="1:2" x14ac:dyDescent="0.25">
      <c r="A91" t="s">
        <v>203</v>
      </c>
      <c r="B91" t="s">
        <v>278</v>
      </c>
    </row>
    <row r="92" spans="1:2" x14ac:dyDescent="0.25">
      <c r="A92" t="s">
        <v>201</v>
      </c>
      <c r="B92" t="s">
        <v>1180</v>
      </c>
    </row>
    <row r="93" spans="1:2" x14ac:dyDescent="0.25">
      <c r="A93" t="s">
        <v>201</v>
      </c>
      <c r="B93" t="s">
        <v>1181</v>
      </c>
    </row>
    <row r="94" spans="1:2" x14ac:dyDescent="0.25">
      <c r="A94" t="s">
        <v>203</v>
      </c>
      <c r="B94" t="s">
        <v>78</v>
      </c>
    </row>
    <row r="95" spans="1:2" x14ac:dyDescent="0.25">
      <c r="A95" t="s">
        <v>201</v>
      </c>
      <c r="B95" t="s">
        <v>256</v>
      </c>
    </row>
    <row r="96" spans="1:2" x14ac:dyDescent="0.25">
      <c r="A96" t="s">
        <v>203</v>
      </c>
      <c r="B96" t="s">
        <v>540</v>
      </c>
    </row>
    <row r="97" spans="1:2" x14ac:dyDescent="0.25">
      <c r="A97" t="s">
        <v>203</v>
      </c>
      <c r="B97" t="s">
        <v>1182</v>
      </c>
    </row>
    <row r="98" spans="1:2" x14ac:dyDescent="0.25">
      <c r="A98" t="s">
        <v>203</v>
      </c>
      <c r="B98" t="s">
        <v>198</v>
      </c>
    </row>
    <row r="99" spans="1:2" x14ac:dyDescent="0.25">
      <c r="A99" t="s">
        <v>221</v>
      </c>
      <c r="B99" t="s">
        <v>1183</v>
      </c>
    </row>
    <row r="100" spans="1:2" x14ac:dyDescent="0.25">
      <c r="A100" t="s">
        <v>203</v>
      </c>
      <c r="B100" t="s">
        <v>206</v>
      </c>
    </row>
    <row r="101" spans="1:2" x14ac:dyDescent="0.25">
      <c r="A101" t="s">
        <v>203</v>
      </c>
      <c r="B101" t="s">
        <v>1184</v>
      </c>
    </row>
    <row r="102" spans="1:2" x14ac:dyDescent="0.25">
      <c r="A102" t="s">
        <v>203</v>
      </c>
      <c r="B102" t="s">
        <v>1185</v>
      </c>
    </row>
    <row r="103" spans="1:2" x14ac:dyDescent="0.25">
      <c r="A103" t="s">
        <v>201</v>
      </c>
      <c r="B103" t="s">
        <v>1186</v>
      </c>
    </row>
    <row r="104" spans="1:2" x14ac:dyDescent="0.25">
      <c r="A104" t="s">
        <v>201</v>
      </c>
      <c r="B104" t="s">
        <v>1117</v>
      </c>
    </row>
    <row r="105" spans="1:2" x14ac:dyDescent="0.25">
      <c r="A105" t="s">
        <v>201</v>
      </c>
      <c r="B105" t="s">
        <v>87</v>
      </c>
    </row>
    <row r="106" spans="1:2" x14ac:dyDescent="0.25">
      <c r="A106" t="s">
        <v>203</v>
      </c>
      <c r="B106" t="s">
        <v>1187</v>
      </c>
    </row>
    <row r="107" spans="1:2" x14ac:dyDescent="0.25">
      <c r="A107" t="s">
        <v>203</v>
      </c>
      <c r="B107" t="s">
        <v>1010</v>
      </c>
    </row>
    <row r="108" spans="1:2" x14ac:dyDescent="0.25">
      <c r="A108" t="s">
        <v>201</v>
      </c>
      <c r="B108" t="s">
        <v>1188</v>
      </c>
    </row>
    <row r="109" spans="1:2" x14ac:dyDescent="0.25">
      <c r="A109" t="s">
        <v>201</v>
      </c>
      <c r="B109" t="s">
        <v>1189</v>
      </c>
    </row>
    <row r="110" spans="1:2" x14ac:dyDescent="0.25">
      <c r="A110" t="s">
        <v>201</v>
      </c>
      <c r="B110" t="s">
        <v>250</v>
      </c>
    </row>
    <row r="111" spans="1:2" x14ac:dyDescent="0.25">
      <c r="A111" t="s">
        <v>203</v>
      </c>
      <c r="B111" t="s">
        <v>87</v>
      </c>
    </row>
    <row r="112" spans="1:2" x14ac:dyDescent="0.25">
      <c r="A112" t="s">
        <v>203</v>
      </c>
      <c r="B112" t="s">
        <v>1190</v>
      </c>
    </row>
    <row r="113" spans="1:2" x14ac:dyDescent="0.25">
      <c r="A113" t="s">
        <v>201</v>
      </c>
      <c r="B113" t="s">
        <v>1191</v>
      </c>
    </row>
    <row r="114" spans="1:2" x14ac:dyDescent="0.25">
      <c r="A114" t="s">
        <v>203</v>
      </c>
      <c r="B114" t="s">
        <v>1192</v>
      </c>
    </row>
    <row r="115" spans="1:2" x14ac:dyDescent="0.25">
      <c r="A115" t="s">
        <v>203</v>
      </c>
      <c r="B115" t="s">
        <v>198</v>
      </c>
    </row>
    <row r="116" spans="1:2" x14ac:dyDescent="0.25">
      <c r="A116" t="s">
        <v>203</v>
      </c>
      <c r="B116" t="s">
        <v>1193</v>
      </c>
    </row>
    <row r="117" spans="1:2" x14ac:dyDescent="0.25">
      <c r="A117" t="s">
        <v>201</v>
      </c>
      <c r="B117" t="s">
        <v>1007</v>
      </c>
    </row>
    <row r="118" spans="1:2" x14ac:dyDescent="0.25">
      <c r="A118" t="s">
        <v>226</v>
      </c>
      <c r="B118" t="s">
        <v>1194</v>
      </c>
    </row>
    <row r="119" spans="1:2" x14ac:dyDescent="0.25">
      <c r="A119" t="s">
        <v>203</v>
      </c>
      <c r="B119" t="s">
        <v>540</v>
      </c>
    </row>
    <row r="120" spans="1:2" x14ac:dyDescent="0.25">
      <c r="A120" t="s">
        <v>203</v>
      </c>
      <c r="B120" t="s">
        <v>295</v>
      </c>
    </row>
    <row r="121" spans="1:2" x14ac:dyDescent="0.25">
      <c r="A121" t="s">
        <v>203</v>
      </c>
      <c r="B121" t="s">
        <v>198</v>
      </c>
    </row>
    <row r="122" spans="1:2" x14ac:dyDescent="0.25">
      <c r="A122" t="s">
        <v>203</v>
      </c>
      <c r="B122" t="s">
        <v>1195</v>
      </c>
    </row>
    <row r="123" spans="1:2" x14ac:dyDescent="0.25">
      <c r="A123" t="s">
        <v>201</v>
      </c>
      <c r="B123" t="s">
        <v>1196</v>
      </c>
    </row>
    <row r="124" spans="1:2" x14ac:dyDescent="0.25">
      <c r="A124" t="s">
        <v>221</v>
      </c>
      <c r="B124" t="s">
        <v>1197</v>
      </c>
    </row>
    <row r="125" spans="1:2" x14ac:dyDescent="0.25">
      <c r="A125" t="s">
        <v>201</v>
      </c>
      <c r="B125" t="s">
        <v>1198</v>
      </c>
    </row>
    <row r="126" spans="1:2" x14ac:dyDescent="0.25">
      <c r="A126" t="s">
        <v>201</v>
      </c>
      <c r="B126" t="s">
        <v>1199</v>
      </c>
    </row>
    <row r="127" spans="1:2" x14ac:dyDescent="0.25">
      <c r="A127" t="s">
        <v>203</v>
      </c>
      <c r="B127" t="s">
        <v>1200</v>
      </c>
    </row>
    <row r="128" spans="1:2" x14ac:dyDescent="0.25">
      <c r="A128" t="s">
        <v>201</v>
      </c>
      <c r="B128" t="s">
        <v>1201</v>
      </c>
    </row>
    <row r="129" spans="1:2" x14ac:dyDescent="0.25">
      <c r="A129" t="s">
        <v>201</v>
      </c>
      <c r="B129" t="s">
        <v>1202</v>
      </c>
    </row>
    <row r="130" spans="1:2" x14ac:dyDescent="0.25">
      <c r="A130" t="s">
        <v>203</v>
      </c>
      <c r="B130" t="s">
        <v>300</v>
      </c>
    </row>
    <row r="131" spans="1:2" x14ac:dyDescent="0.25">
      <c r="A131" t="s">
        <v>221</v>
      </c>
      <c r="B131" t="s">
        <v>263</v>
      </c>
    </row>
    <row r="132" spans="1:2" x14ac:dyDescent="0.25">
      <c r="A132" t="s">
        <v>203</v>
      </c>
      <c r="B132" t="s">
        <v>78</v>
      </c>
    </row>
    <row r="133" spans="1:2" x14ac:dyDescent="0.25">
      <c r="A133" t="s">
        <v>201</v>
      </c>
      <c r="B133" t="s">
        <v>309</v>
      </c>
    </row>
    <row r="134" spans="1:2" x14ac:dyDescent="0.25">
      <c r="A134" t="s">
        <v>203</v>
      </c>
      <c r="B134" t="s">
        <v>74</v>
      </c>
    </row>
    <row r="135" spans="1:2" x14ac:dyDescent="0.25">
      <c r="A135" t="s">
        <v>201</v>
      </c>
      <c r="B135" t="s">
        <v>202</v>
      </c>
    </row>
    <row r="136" spans="1:2" x14ac:dyDescent="0.25">
      <c r="A136" t="s">
        <v>201</v>
      </c>
      <c r="B136" t="s">
        <v>1203</v>
      </c>
    </row>
    <row r="137" spans="1:2" x14ac:dyDescent="0.25">
      <c r="A137" t="s">
        <v>203</v>
      </c>
      <c r="B137" t="s">
        <v>1204</v>
      </c>
    </row>
    <row r="138" spans="1:2" x14ac:dyDescent="0.25">
      <c r="A138" t="s">
        <v>221</v>
      </c>
      <c r="B138" t="s">
        <v>398</v>
      </c>
    </row>
    <row r="139" spans="1:2" x14ac:dyDescent="0.25">
      <c r="A139" t="s">
        <v>201</v>
      </c>
      <c r="B139" t="s">
        <v>307</v>
      </c>
    </row>
    <row r="140" spans="1:2" x14ac:dyDescent="0.25">
      <c r="A140" t="s">
        <v>203</v>
      </c>
      <c r="B140" t="s">
        <v>78</v>
      </c>
    </row>
    <row r="141" spans="1:2" x14ac:dyDescent="0.25">
      <c r="A141" t="s">
        <v>201</v>
      </c>
      <c r="B141" t="s">
        <v>256</v>
      </c>
    </row>
    <row r="142" spans="1:2" x14ac:dyDescent="0.25">
      <c r="A142" t="s">
        <v>201</v>
      </c>
      <c r="B142" t="s">
        <v>1205</v>
      </c>
    </row>
    <row r="143" spans="1:2" x14ac:dyDescent="0.25">
      <c r="A143" t="s">
        <v>221</v>
      </c>
      <c r="B143" t="s">
        <v>1206</v>
      </c>
    </row>
    <row r="144" spans="1:2" x14ac:dyDescent="0.25">
      <c r="A144" t="s">
        <v>203</v>
      </c>
      <c r="B144" t="s">
        <v>335</v>
      </c>
    </row>
    <row r="145" spans="1:2" x14ac:dyDescent="0.25">
      <c r="A145" t="s">
        <v>201</v>
      </c>
      <c r="B145" t="s">
        <v>263</v>
      </c>
    </row>
    <row r="146" spans="1:2" x14ac:dyDescent="0.25">
      <c r="A146" t="s">
        <v>203</v>
      </c>
      <c r="B146" t="s">
        <v>1207</v>
      </c>
    </row>
    <row r="147" spans="1:2" x14ac:dyDescent="0.25">
      <c r="A147" t="s">
        <v>201</v>
      </c>
      <c r="B147" t="s">
        <v>739</v>
      </c>
    </row>
    <row r="148" spans="1:2" x14ac:dyDescent="0.25">
      <c r="A148" t="s">
        <v>208</v>
      </c>
      <c r="B148" t="s">
        <v>74</v>
      </c>
    </row>
    <row r="149" spans="1:2" x14ac:dyDescent="0.25">
      <c r="A149" t="s">
        <v>201</v>
      </c>
      <c r="B149" t="s">
        <v>1208</v>
      </c>
    </row>
    <row r="150" spans="1:2" x14ac:dyDescent="0.25">
      <c r="A150" t="s">
        <v>203</v>
      </c>
      <c r="B150" t="s">
        <v>46</v>
      </c>
    </row>
    <row r="151" spans="1:2" x14ac:dyDescent="0.25">
      <c r="A151" t="s">
        <v>201</v>
      </c>
      <c r="B151" t="s">
        <v>1209</v>
      </c>
    </row>
    <row r="152" spans="1:2" x14ac:dyDescent="0.25">
      <c r="A152" t="s">
        <v>203</v>
      </c>
      <c r="B152" t="s">
        <v>1210</v>
      </c>
    </row>
    <row r="153" spans="1:2" x14ac:dyDescent="0.25">
      <c r="A153" t="s">
        <v>201</v>
      </c>
      <c r="B153" t="s">
        <v>1211</v>
      </c>
    </row>
    <row r="154" spans="1:2" x14ac:dyDescent="0.25">
      <c r="A154" t="s">
        <v>201</v>
      </c>
      <c r="B154" t="s">
        <v>1212</v>
      </c>
    </row>
    <row r="155" spans="1:2" x14ac:dyDescent="0.25">
      <c r="A155" t="s">
        <v>221</v>
      </c>
      <c r="B155" t="s">
        <v>1213</v>
      </c>
    </row>
    <row r="156" spans="1:2" x14ac:dyDescent="0.25">
      <c r="A156" t="s">
        <v>201</v>
      </c>
      <c r="B156" t="s">
        <v>1214</v>
      </c>
    </row>
    <row r="157" spans="1:2" x14ac:dyDescent="0.25">
      <c r="A157" t="s">
        <v>208</v>
      </c>
      <c r="B157" t="s">
        <v>278</v>
      </c>
    </row>
    <row r="158" spans="1:2" x14ac:dyDescent="0.25">
      <c r="A158" t="s">
        <v>201</v>
      </c>
      <c r="B158" t="s">
        <v>1023</v>
      </c>
    </row>
    <row r="159" spans="1:2" x14ac:dyDescent="0.25">
      <c r="A159" t="s">
        <v>201</v>
      </c>
      <c r="B159" t="s">
        <v>1215</v>
      </c>
    </row>
    <row r="160" spans="1:2" x14ac:dyDescent="0.25">
      <c r="A160" t="s">
        <v>201</v>
      </c>
      <c r="B160" t="s">
        <v>1216</v>
      </c>
    </row>
    <row r="161" spans="1:2" x14ac:dyDescent="0.25">
      <c r="A161" t="s">
        <v>201</v>
      </c>
      <c r="B161" t="s">
        <v>46</v>
      </c>
    </row>
    <row r="162" spans="1:2" x14ac:dyDescent="0.25">
      <c r="A162" t="s">
        <v>203</v>
      </c>
      <c r="B162" t="s">
        <v>1217</v>
      </c>
    </row>
    <row r="163" spans="1:2" x14ac:dyDescent="0.25">
      <c r="A163" t="s">
        <v>221</v>
      </c>
      <c r="B163" t="s">
        <v>35</v>
      </c>
    </row>
    <row r="164" spans="1:2" x14ac:dyDescent="0.25">
      <c r="A164" t="s">
        <v>201</v>
      </c>
      <c r="B164" t="s">
        <v>981</v>
      </c>
    </row>
    <row r="165" spans="1:2" x14ac:dyDescent="0.25">
      <c r="A165" t="s">
        <v>203</v>
      </c>
      <c r="B165" t="s">
        <v>818</v>
      </c>
    </row>
    <row r="166" spans="1:2" x14ac:dyDescent="0.25">
      <c r="A166" t="s">
        <v>201</v>
      </c>
      <c r="B166" t="s">
        <v>1218</v>
      </c>
    </row>
    <row r="167" spans="1:2" x14ac:dyDescent="0.25">
      <c r="A167" t="s">
        <v>201</v>
      </c>
      <c r="B167" t="s">
        <v>1162</v>
      </c>
    </row>
    <row r="168" spans="1:2" x14ac:dyDescent="0.25">
      <c r="A168" t="s">
        <v>221</v>
      </c>
      <c r="B168" t="s">
        <v>1219</v>
      </c>
    </row>
    <row r="169" spans="1:2" x14ac:dyDescent="0.25">
      <c r="A169" t="s">
        <v>221</v>
      </c>
      <c r="B169" t="s">
        <v>1220</v>
      </c>
    </row>
    <row r="170" spans="1:2" x14ac:dyDescent="0.25">
      <c r="A170" t="s">
        <v>221</v>
      </c>
      <c r="B170" t="s">
        <v>531</v>
      </c>
    </row>
    <row r="171" spans="1:2" x14ac:dyDescent="0.25">
      <c r="A171" t="s">
        <v>201</v>
      </c>
      <c r="B171" t="s">
        <v>1221</v>
      </c>
    </row>
    <row r="172" spans="1:2" x14ac:dyDescent="0.25">
      <c r="A172" t="s">
        <v>203</v>
      </c>
      <c r="B172" t="s">
        <v>278</v>
      </c>
    </row>
    <row r="173" spans="1:2" x14ac:dyDescent="0.25">
      <c r="A173" t="s">
        <v>201</v>
      </c>
      <c r="B173" t="s">
        <v>1222</v>
      </c>
    </row>
    <row r="174" spans="1:2" x14ac:dyDescent="0.25">
      <c r="A174" t="s">
        <v>203</v>
      </c>
      <c r="B174" t="s">
        <v>1223</v>
      </c>
    </row>
    <row r="175" spans="1:2" x14ac:dyDescent="0.25">
      <c r="A175" t="s">
        <v>203</v>
      </c>
      <c r="B175" t="s">
        <v>335</v>
      </c>
    </row>
    <row r="176" spans="1:2" x14ac:dyDescent="0.25">
      <c r="A176" t="s">
        <v>221</v>
      </c>
      <c r="B176" t="s">
        <v>1224</v>
      </c>
    </row>
    <row r="177" spans="1:2" x14ac:dyDescent="0.25">
      <c r="A177" t="s">
        <v>203</v>
      </c>
      <c r="B177" t="s">
        <v>198</v>
      </c>
    </row>
    <row r="178" spans="1:2" x14ac:dyDescent="0.25">
      <c r="A178" t="s">
        <v>208</v>
      </c>
      <c r="B178" t="s">
        <v>308</v>
      </c>
    </row>
    <row r="179" spans="1:2" x14ac:dyDescent="0.25">
      <c r="A179" t="s">
        <v>201</v>
      </c>
      <c r="B179" t="s">
        <v>212</v>
      </c>
    </row>
    <row r="180" spans="1:2" x14ac:dyDescent="0.25">
      <c r="A180" t="s">
        <v>221</v>
      </c>
      <c r="B180" t="s">
        <v>725</v>
      </c>
    </row>
    <row r="181" spans="1:2" x14ac:dyDescent="0.25">
      <c r="A181" t="s">
        <v>221</v>
      </c>
      <c r="B181" t="s">
        <v>1225</v>
      </c>
    </row>
    <row r="182" spans="1:2" x14ac:dyDescent="0.25">
      <c r="A182" t="s">
        <v>203</v>
      </c>
      <c r="B182" t="s">
        <v>198</v>
      </c>
    </row>
    <row r="183" spans="1:2" x14ac:dyDescent="0.25">
      <c r="A183" t="s">
        <v>203</v>
      </c>
      <c r="B183" t="s">
        <v>1226</v>
      </c>
    </row>
    <row r="184" spans="1:2" x14ac:dyDescent="0.25">
      <c r="A184" t="s">
        <v>203</v>
      </c>
      <c r="B184" t="s">
        <v>1227</v>
      </c>
    </row>
    <row r="185" spans="1:2" x14ac:dyDescent="0.25">
      <c r="A185" t="s">
        <v>203</v>
      </c>
      <c r="B185" t="s">
        <v>342</v>
      </c>
    </row>
    <row r="186" spans="1:2" x14ac:dyDescent="0.25">
      <c r="A186" t="s">
        <v>221</v>
      </c>
      <c r="B186" t="s">
        <v>1228</v>
      </c>
    </row>
    <row r="187" spans="1:2" x14ac:dyDescent="0.25">
      <c r="A187" t="s">
        <v>203</v>
      </c>
      <c r="B187" t="s">
        <v>218</v>
      </c>
    </row>
    <row r="188" spans="1:2" x14ac:dyDescent="0.25">
      <c r="A188" t="s">
        <v>201</v>
      </c>
      <c r="B188" t="s">
        <v>1229</v>
      </c>
    </row>
    <row r="189" spans="1:2" x14ac:dyDescent="0.25">
      <c r="A189" t="s">
        <v>203</v>
      </c>
      <c r="B189" t="s">
        <v>343</v>
      </c>
    </row>
    <row r="190" spans="1:2" x14ac:dyDescent="0.25">
      <c r="A190" t="s">
        <v>203</v>
      </c>
      <c r="B190" t="s">
        <v>1230</v>
      </c>
    </row>
    <row r="191" spans="1:2" x14ac:dyDescent="0.25">
      <c r="A191" t="s">
        <v>221</v>
      </c>
      <c r="B191" t="s">
        <v>1231</v>
      </c>
    </row>
    <row r="192" spans="1:2" x14ac:dyDescent="0.25">
      <c r="A192" t="s">
        <v>203</v>
      </c>
      <c r="B192" t="s">
        <v>1232</v>
      </c>
    </row>
    <row r="193" spans="1:2" x14ac:dyDescent="0.25">
      <c r="A193" t="s">
        <v>203</v>
      </c>
      <c r="B193" t="s">
        <v>1233</v>
      </c>
    </row>
    <row r="194" spans="1:2" x14ac:dyDescent="0.25">
      <c r="A194" t="s">
        <v>201</v>
      </c>
      <c r="B194" t="s">
        <v>456</v>
      </c>
    </row>
    <row r="195" spans="1:2" x14ac:dyDescent="0.25">
      <c r="A195" t="s">
        <v>203</v>
      </c>
      <c r="B195" t="s">
        <v>1234</v>
      </c>
    </row>
    <row r="196" spans="1:2" x14ac:dyDescent="0.25">
      <c r="A196" t="s">
        <v>203</v>
      </c>
      <c r="B196" t="s">
        <v>74</v>
      </c>
    </row>
    <row r="197" spans="1:2" x14ac:dyDescent="0.25">
      <c r="A197" t="s">
        <v>208</v>
      </c>
      <c r="B197" t="s">
        <v>1020</v>
      </c>
    </row>
    <row r="198" spans="1:2" x14ac:dyDescent="0.25">
      <c r="A198" t="s">
        <v>201</v>
      </c>
      <c r="B198" t="s">
        <v>1235</v>
      </c>
    </row>
    <row r="199" spans="1:2" x14ac:dyDescent="0.25">
      <c r="A199" t="s">
        <v>201</v>
      </c>
      <c r="B199" t="s">
        <v>1236</v>
      </c>
    </row>
    <row r="200" spans="1:2" x14ac:dyDescent="0.25">
      <c r="A200" t="s">
        <v>201</v>
      </c>
      <c r="B200" t="s">
        <v>1237</v>
      </c>
    </row>
    <row r="201" spans="1:2" x14ac:dyDescent="0.25">
      <c r="A201" t="s">
        <v>203</v>
      </c>
      <c r="B201" t="s">
        <v>74</v>
      </c>
    </row>
    <row r="202" spans="1:2" x14ac:dyDescent="0.25">
      <c r="A202" t="s">
        <v>203</v>
      </c>
      <c r="B202" t="s">
        <v>1238</v>
      </c>
    </row>
    <row r="203" spans="1:2" x14ac:dyDescent="0.25">
      <c r="A203" t="s">
        <v>201</v>
      </c>
      <c r="B203" t="s">
        <v>1239</v>
      </c>
    </row>
    <row r="204" spans="1:2" x14ac:dyDescent="0.25">
      <c r="A204" t="s">
        <v>203</v>
      </c>
      <c r="B204" t="s">
        <v>198</v>
      </c>
    </row>
    <row r="205" spans="1:2" x14ac:dyDescent="0.25">
      <c r="A205" t="s">
        <v>221</v>
      </c>
      <c r="B205" t="s">
        <v>62</v>
      </c>
    </row>
    <row r="206" spans="1:2" x14ac:dyDescent="0.25">
      <c r="A206" t="s">
        <v>203</v>
      </c>
      <c r="B206" t="s">
        <v>74</v>
      </c>
    </row>
    <row r="207" spans="1:2" x14ac:dyDescent="0.25">
      <c r="A207" t="s">
        <v>203</v>
      </c>
      <c r="B207" t="s">
        <v>278</v>
      </c>
    </row>
    <row r="208" spans="1:2" x14ac:dyDescent="0.25">
      <c r="A208" t="s">
        <v>203</v>
      </c>
      <c r="B208" t="s">
        <v>82</v>
      </c>
    </row>
    <row r="209" spans="1:2" x14ac:dyDescent="0.25">
      <c r="A209" t="s">
        <v>201</v>
      </c>
      <c r="B209" t="s">
        <v>1012</v>
      </c>
    </row>
    <row r="210" spans="1:2" x14ac:dyDescent="0.25">
      <c r="A210" t="s">
        <v>221</v>
      </c>
      <c r="B210" t="s">
        <v>1240</v>
      </c>
    </row>
    <row r="211" spans="1:2" x14ac:dyDescent="0.25">
      <c r="A211" t="s">
        <v>203</v>
      </c>
      <c r="B211" t="s">
        <v>53</v>
      </c>
    </row>
    <row r="212" spans="1:2" x14ac:dyDescent="0.25">
      <c r="A212" t="s">
        <v>201</v>
      </c>
      <c r="B212" t="s">
        <v>398</v>
      </c>
    </row>
    <row r="213" spans="1:2" x14ac:dyDescent="0.25">
      <c r="A213" t="s">
        <v>201</v>
      </c>
      <c r="B213" t="s">
        <v>1241</v>
      </c>
    </row>
    <row r="214" spans="1:2" x14ac:dyDescent="0.25">
      <c r="A214" t="s">
        <v>221</v>
      </c>
      <c r="B214" t="s">
        <v>1242</v>
      </c>
    </row>
    <row r="215" spans="1:2" x14ac:dyDescent="0.25">
      <c r="A215" t="s">
        <v>203</v>
      </c>
      <c r="B215" t="s">
        <v>1243</v>
      </c>
    </row>
    <row r="216" spans="1:2" x14ac:dyDescent="0.25">
      <c r="A216" t="s">
        <v>203</v>
      </c>
      <c r="B216" t="s">
        <v>218</v>
      </c>
    </row>
    <row r="217" spans="1:2" x14ac:dyDescent="0.25">
      <c r="A217" t="s">
        <v>226</v>
      </c>
      <c r="B217" t="s">
        <v>1244</v>
      </c>
    </row>
    <row r="218" spans="1:2" x14ac:dyDescent="0.25">
      <c r="A218" t="s">
        <v>201</v>
      </c>
      <c r="B218" t="s">
        <v>1245</v>
      </c>
    </row>
    <row r="219" spans="1:2" x14ac:dyDescent="0.25">
      <c r="A219" t="s">
        <v>203</v>
      </c>
      <c r="B219" t="s">
        <v>359</v>
      </c>
    </row>
    <row r="220" spans="1:2" x14ac:dyDescent="0.25">
      <c r="A220" t="s">
        <v>221</v>
      </c>
      <c r="B220" t="s">
        <v>1246</v>
      </c>
    </row>
    <row r="221" spans="1:2" x14ac:dyDescent="0.25">
      <c r="A221" t="s">
        <v>203</v>
      </c>
      <c r="B221" t="s">
        <v>362</v>
      </c>
    </row>
    <row r="222" spans="1:2" x14ac:dyDescent="0.25">
      <c r="A222" t="s">
        <v>201</v>
      </c>
      <c r="B222" t="s">
        <v>1247</v>
      </c>
    </row>
    <row r="223" spans="1:2" x14ac:dyDescent="0.25">
      <c r="A223" t="s">
        <v>201</v>
      </c>
      <c r="B223" t="s">
        <v>328</v>
      </c>
    </row>
    <row r="224" spans="1:2" x14ac:dyDescent="0.25">
      <c r="A224" t="s">
        <v>203</v>
      </c>
      <c r="B224" t="s">
        <v>387</v>
      </c>
    </row>
    <row r="225" spans="1:2" x14ac:dyDescent="0.25">
      <c r="A225" t="s">
        <v>203</v>
      </c>
      <c r="B225" t="s">
        <v>234</v>
      </c>
    </row>
    <row r="226" spans="1:2" x14ac:dyDescent="0.25">
      <c r="A226" t="s">
        <v>201</v>
      </c>
      <c r="B226" t="s">
        <v>29</v>
      </c>
    </row>
    <row r="227" spans="1:2" x14ac:dyDescent="0.25">
      <c r="A227" t="s">
        <v>201</v>
      </c>
      <c r="B227" t="s">
        <v>1248</v>
      </c>
    </row>
    <row r="228" spans="1:2" x14ac:dyDescent="0.25">
      <c r="A228" t="s">
        <v>226</v>
      </c>
      <c r="B228" t="s">
        <v>1249</v>
      </c>
    </row>
    <row r="229" spans="1:2" x14ac:dyDescent="0.25">
      <c r="A229" t="s">
        <v>201</v>
      </c>
      <c r="B229" t="s">
        <v>367</v>
      </c>
    </row>
    <row r="230" spans="1:2" x14ac:dyDescent="0.25">
      <c r="A230" t="s">
        <v>203</v>
      </c>
      <c r="B230" t="s">
        <v>1250</v>
      </c>
    </row>
    <row r="231" spans="1:2" x14ac:dyDescent="0.25">
      <c r="A231" t="s">
        <v>201</v>
      </c>
      <c r="B231" t="s">
        <v>256</v>
      </c>
    </row>
    <row r="232" spans="1:2" x14ac:dyDescent="0.25">
      <c r="A232" t="s">
        <v>201</v>
      </c>
      <c r="B232" t="s">
        <v>351</v>
      </c>
    </row>
    <row r="233" spans="1:2" x14ac:dyDescent="0.25">
      <c r="A233" t="s">
        <v>221</v>
      </c>
      <c r="B233" t="s">
        <v>309</v>
      </c>
    </row>
    <row r="234" spans="1:2" x14ac:dyDescent="0.25">
      <c r="A234" t="s">
        <v>208</v>
      </c>
      <c r="B234" t="s">
        <v>1251</v>
      </c>
    </row>
    <row r="235" spans="1:2" x14ac:dyDescent="0.25">
      <c r="A235" t="s">
        <v>201</v>
      </c>
      <c r="B235" t="s">
        <v>1252</v>
      </c>
    </row>
    <row r="236" spans="1:2" x14ac:dyDescent="0.25">
      <c r="A236" t="s">
        <v>201</v>
      </c>
      <c r="B236" t="s">
        <v>212</v>
      </c>
    </row>
    <row r="237" spans="1:2" x14ac:dyDescent="0.25">
      <c r="A237" t="s">
        <v>203</v>
      </c>
      <c r="B237" t="s">
        <v>206</v>
      </c>
    </row>
    <row r="238" spans="1:2" x14ac:dyDescent="0.25">
      <c r="A238" t="s">
        <v>201</v>
      </c>
      <c r="B238" t="s">
        <v>1253</v>
      </c>
    </row>
    <row r="239" spans="1:2" x14ac:dyDescent="0.25">
      <c r="A239" t="s">
        <v>221</v>
      </c>
      <c r="B239" t="s">
        <v>1254</v>
      </c>
    </row>
    <row r="240" spans="1:2" x14ac:dyDescent="0.25">
      <c r="A240" t="s">
        <v>203</v>
      </c>
      <c r="B240" t="s">
        <v>111</v>
      </c>
    </row>
    <row r="241" spans="1:2" x14ac:dyDescent="0.25">
      <c r="A241" t="s">
        <v>221</v>
      </c>
      <c r="B241" t="s">
        <v>545</v>
      </c>
    </row>
    <row r="242" spans="1:2" x14ac:dyDescent="0.25">
      <c r="A242" t="s">
        <v>201</v>
      </c>
      <c r="B242" t="s">
        <v>309</v>
      </c>
    </row>
    <row r="243" spans="1:2" x14ac:dyDescent="0.25">
      <c r="A243" t="s">
        <v>201</v>
      </c>
      <c r="B243" t="s">
        <v>212</v>
      </c>
    </row>
    <row r="244" spans="1:2" x14ac:dyDescent="0.25">
      <c r="A244" t="s">
        <v>201</v>
      </c>
      <c r="B244" t="s">
        <v>309</v>
      </c>
    </row>
    <row r="245" spans="1:2" x14ac:dyDescent="0.25">
      <c r="A245" t="s">
        <v>201</v>
      </c>
      <c r="B245" t="s">
        <v>1117</v>
      </c>
    </row>
    <row r="246" spans="1:2" x14ac:dyDescent="0.25">
      <c r="A246" t="s">
        <v>203</v>
      </c>
      <c r="B246" t="s">
        <v>212</v>
      </c>
    </row>
    <row r="247" spans="1:2" x14ac:dyDescent="0.25">
      <c r="A247" t="s">
        <v>203</v>
      </c>
      <c r="B247" t="s">
        <v>1255</v>
      </c>
    </row>
    <row r="248" spans="1:2" x14ac:dyDescent="0.25">
      <c r="A248" t="s">
        <v>203</v>
      </c>
      <c r="B248" t="s">
        <v>214</v>
      </c>
    </row>
    <row r="249" spans="1:2" x14ac:dyDescent="0.25">
      <c r="A249" t="s">
        <v>201</v>
      </c>
      <c r="B249" t="s">
        <v>1256</v>
      </c>
    </row>
    <row r="250" spans="1:2" x14ac:dyDescent="0.25">
      <c r="A250" t="s">
        <v>203</v>
      </c>
      <c r="B250" t="s">
        <v>278</v>
      </c>
    </row>
    <row r="251" spans="1:2" x14ac:dyDescent="0.25">
      <c r="A251" t="s">
        <v>221</v>
      </c>
      <c r="B251" t="s">
        <v>1257</v>
      </c>
    </row>
    <row r="252" spans="1:2" x14ac:dyDescent="0.25">
      <c r="A252" t="s">
        <v>203</v>
      </c>
      <c r="B252" t="s">
        <v>1258</v>
      </c>
    </row>
    <row r="253" spans="1:2" x14ac:dyDescent="0.25">
      <c r="A253" t="s">
        <v>201</v>
      </c>
      <c r="B253" t="s">
        <v>256</v>
      </c>
    </row>
    <row r="254" spans="1:2" x14ac:dyDescent="0.25">
      <c r="A254" t="s">
        <v>201</v>
      </c>
      <c r="B254" t="s">
        <v>1259</v>
      </c>
    </row>
    <row r="255" spans="1:2" x14ac:dyDescent="0.25">
      <c r="A255" t="s">
        <v>201</v>
      </c>
      <c r="B255" t="s">
        <v>212</v>
      </c>
    </row>
    <row r="256" spans="1:2" x14ac:dyDescent="0.25">
      <c r="A256" t="s">
        <v>203</v>
      </c>
      <c r="B256" t="s">
        <v>1260</v>
      </c>
    </row>
    <row r="257" spans="1:2" x14ac:dyDescent="0.25">
      <c r="A257" t="s">
        <v>201</v>
      </c>
      <c r="B257" t="s">
        <v>1261</v>
      </c>
    </row>
    <row r="258" spans="1:2" x14ac:dyDescent="0.25">
      <c r="A258" t="s">
        <v>208</v>
      </c>
      <c r="B258" t="s">
        <v>78</v>
      </c>
    </row>
    <row r="259" spans="1:2" x14ac:dyDescent="0.25">
      <c r="A259" t="s">
        <v>203</v>
      </c>
      <c r="B259" t="s">
        <v>1262</v>
      </c>
    </row>
    <row r="260" spans="1:2" x14ac:dyDescent="0.25">
      <c r="A260" t="s">
        <v>201</v>
      </c>
      <c r="B260" t="s">
        <v>1263</v>
      </c>
    </row>
    <row r="261" spans="1:2" x14ac:dyDescent="0.25">
      <c r="A261" t="s">
        <v>203</v>
      </c>
      <c r="B261" t="s">
        <v>1264</v>
      </c>
    </row>
    <row r="262" spans="1:2" x14ac:dyDescent="0.25">
      <c r="A262" t="s">
        <v>203</v>
      </c>
      <c r="B262" t="s">
        <v>1265</v>
      </c>
    </row>
    <row r="263" spans="1:2" x14ac:dyDescent="0.25">
      <c r="A263" t="s">
        <v>203</v>
      </c>
      <c r="B263" t="s">
        <v>74</v>
      </c>
    </row>
    <row r="264" spans="1:2" x14ac:dyDescent="0.25">
      <c r="A264" t="s">
        <v>203</v>
      </c>
      <c r="B264" t="s">
        <v>1266</v>
      </c>
    </row>
    <row r="265" spans="1:2" x14ac:dyDescent="0.25">
      <c r="A265" t="s">
        <v>203</v>
      </c>
      <c r="B265" t="s">
        <v>1267</v>
      </c>
    </row>
    <row r="266" spans="1:2" x14ac:dyDescent="0.25">
      <c r="A266" t="s">
        <v>203</v>
      </c>
      <c r="B266" t="s">
        <v>1268</v>
      </c>
    </row>
    <row r="267" spans="1:2" x14ac:dyDescent="0.25">
      <c r="A267" t="s">
        <v>201</v>
      </c>
      <c r="B267" t="s">
        <v>1269</v>
      </c>
    </row>
    <row r="268" spans="1:2" x14ac:dyDescent="0.25">
      <c r="A268" t="s">
        <v>201</v>
      </c>
      <c r="B268" t="s">
        <v>212</v>
      </c>
    </row>
    <row r="269" spans="1:2" x14ac:dyDescent="0.25">
      <c r="A269" t="s">
        <v>203</v>
      </c>
      <c r="B269" t="s">
        <v>1270</v>
      </c>
    </row>
    <row r="270" spans="1:2" x14ac:dyDescent="0.25">
      <c r="A270" t="s">
        <v>201</v>
      </c>
      <c r="B270" t="s">
        <v>1271</v>
      </c>
    </row>
    <row r="271" spans="1:2" x14ac:dyDescent="0.25">
      <c r="A271" t="s">
        <v>221</v>
      </c>
      <c r="B271" t="s">
        <v>1162</v>
      </c>
    </row>
    <row r="272" spans="1:2" x14ac:dyDescent="0.25">
      <c r="A272" t="s">
        <v>201</v>
      </c>
      <c r="B272" t="s">
        <v>1272</v>
      </c>
    </row>
    <row r="273" spans="1:2" x14ac:dyDescent="0.25">
      <c r="A273" t="s">
        <v>203</v>
      </c>
      <c r="B273" t="s">
        <v>206</v>
      </c>
    </row>
    <row r="274" spans="1:2" x14ac:dyDescent="0.25">
      <c r="A274" t="s">
        <v>203</v>
      </c>
      <c r="B274" t="s">
        <v>399</v>
      </c>
    </row>
    <row r="275" spans="1:2" x14ac:dyDescent="0.25">
      <c r="A275" t="s">
        <v>201</v>
      </c>
      <c r="B275" t="s">
        <v>1273</v>
      </c>
    </row>
    <row r="276" spans="1:2" x14ac:dyDescent="0.25">
      <c r="A276" t="s">
        <v>201</v>
      </c>
      <c r="B276" t="s">
        <v>62</v>
      </c>
    </row>
    <row r="277" spans="1:2" x14ac:dyDescent="0.25">
      <c r="A277" t="s">
        <v>203</v>
      </c>
      <c r="B277" t="s">
        <v>46</v>
      </c>
    </row>
    <row r="278" spans="1:2" x14ac:dyDescent="0.25">
      <c r="A278" t="s">
        <v>203</v>
      </c>
      <c r="B278" t="s">
        <v>1274</v>
      </c>
    </row>
    <row r="279" spans="1:2" x14ac:dyDescent="0.25">
      <c r="A279" t="s">
        <v>203</v>
      </c>
      <c r="B279" t="s">
        <v>1275</v>
      </c>
    </row>
    <row r="280" spans="1:2" x14ac:dyDescent="0.25">
      <c r="A280" t="s">
        <v>221</v>
      </c>
      <c r="B280" t="s">
        <v>1276</v>
      </c>
    </row>
    <row r="281" spans="1:2" x14ac:dyDescent="0.25">
      <c r="A281" t="s">
        <v>203</v>
      </c>
      <c r="B281" t="s">
        <v>399</v>
      </c>
    </row>
    <row r="282" spans="1:2" x14ac:dyDescent="0.25">
      <c r="A282" t="s">
        <v>201</v>
      </c>
      <c r="B282" t="s">
        <v>1277</v>
      </c>
    </row>
    <row r="283" spans="1:2" x14ac:dyDescent="0.25">
      <c r="A283" t="s">
        <v>201</v>
      </c>
      <c r="B283" t="s">
        <v>1278</v>
      </c>
    </row>
    <row r="284" spans="1:2" x14ac:dyDescent="0.25">
      <c r="A284" t="s">
        <v>203</v>
      </c>
      <c r="B284" t="s">
        <v>78</v>
      </c>
    </row>
    <row r="285" spans="1:2" x14ac:dyDescent="0.25">
      <c r="A285" t="s">
        <v>201</v>
      </c>
      <c r="B285" t="s">
        <v>1279</v>
      </c>
    </row>
    <row r="286" spans="1:2" x14ac:dyDescent="0.25">
      <c r="A286" t="s">
        <v>203</v>
      </c>
      <c r="B286" t="s">
        <v>1280</v>
      </c>
    </row>
    <row r="287" spans="1:2" x14ac:dyDescent="0.25">
      <c r="A287" t="s">
        <v>203</v>
      </c>
      <c r="B287" t="s">
        <v>62</v>
      </c>
    </row>
    <row r="288" spans="1:2" x14ac:dyDescent="0.25">
      <c r="A288" t="s">
        <v>203</v>
      </c>
      <c r="B288" t="s">
        <v>1281</v>
      </c>
    </row>
    <row r="289" spans="1:2" x14ac:dyDescent="0.25">
      <c r="A289" t="s">
        <v>203</v>
      </c>
      <c r="B289" t="s">
        <v>295</v>
      </c>
    </row>
    <row r="290" spans="1:2" x14ac:dyDescent="0.25">
      <c r="A290" t="s">
        <v>201</v>
      </c>
      <c r="B290" t="s">
        <v>1282</v>
      </c>
    </row>
    <row r="291" spans="1:2" x14ac:dyDescent="0.25">
      <c r="A291" t="s">
        <v>203</v>
      </c>
      <c r="B291" t="s">
        <v>1251</v>
      </c>
    </row>
    <row r="292" spans="1:2" x14ac:dyDescent="0.25">
      <c r="A292" t="s">
        <v>203</v>
      </c>
      <c r="B292" t="s">
        <v>278</v>
      </c>
    </row>
    <row r="293" spans="1:2" x14ac:dyDescent="0.25">
      <c r="A293" t="s">
        <v>221</v>
      </c>
      <c r="B293" t="s">
        <v>1283</v>
      </c>
    </row>
    <row r="294" spans="1:2" x14ac:dyDescent="0.25">
      <c r="A294" t="s">
        <v>203</v>
      </c>
      <c r="B294" t="s">
        <v>214</v>
      </c>
    </row>
    <row r="295" spans="1:2" x14ac:dyDescent="0.25">
      <c r="A295" t="s">
        <v>208</v>
      </c>
      <c r="B295" t="s">
        <v>1284</v>
      </c>
    </row>
    <row r="296" spans="1:2" x14ac:dyDescent="0.25">
      <c r="A296" t="s">
        <v>221</v>
      </c>
      <c r="B296" t="s">
        <v>1127</v>
      </c>
    </row>
    <row r="297" spans="1:2" x14ac:dyDescent="0.25">
      <c r="A297" t="s">
        <v>201</v>
      </c>
      <c r="B297" t="s">
        <v>1285</v>
      </c>
    </row>
    <row r="298" spans="1:2" x14ac:dyDescent="0.25">
      <c r="A298" t="s">
        <v>203</v>
      </c>
      <c r="B298" t="s">
        <v>74</v>
      </c>
    </row>
    <row r="299" spans="1:2" x14ac:dyDescent="0.25">
      <c r="A299" t="s">
        <v>221</v>
      </c>
      <c r="B299" t="s">
        <v>962</v>
      </c>
    </row>
    <row r="300" spans="1:2" x14ac:dyDescent="0.25">
      <c r="A300" t="s">
        <v>201</v>
      </c>
      <c r="B300" t="s">
        <v>62</v>
      </c>
    </row>
    <row r="301" spans="1:2" x14ac:dyDescent="0.25">
      <c r="A301" t="s">
        <v>201</v>
      </c>
      <c r="B301" t="s">
        <v>1286</v>
      </c>
    </row>
    <row r="302" spans="1:2" x14ac:dyDescent="0.25">
      <c r="A302" t="s">
        <v>201</v>
      </c>
      <c r="B302" t="s">
        <v>263</v>
      </c>
    </row>
    <row r="303" spans="1:2" x14ac:dyDescent="0.25">
      <c r="A303" t="s">
        <v>203</v>
      </c>
      <c r="B303" t="s">
        <v>53</v>
      </c>
    </row>
    <row r="304" spans="1:2" x14ac:dyDescent="0.25">
      <c r="A304" t="s">
        <v>226</v>
      </c>
      <c r="B304" t="s">
        <v>748</v>
      </c>
    </row>
    <row r="305" spans="1:2" x14ac:dyDescent="0.25">
      <c r="A305" t="s">
        <v>203</v>
      </c>
      <c r="B305" t="s">
        <v>1287</v>
      </c>
    </row>
    <row r="306" spans="1:2" x14ac:dyDescent="0.25">
      <c r="A306" t="s">
        <v>203</v>
      </c>
      <c r="B306" t="s">
        <v>206</v>
      </c>
    </row>
    <row r="307" spans="1:2" x14ac:dyDescent="0.25">
      <c r="A307" t="s">
        <v>221</v>
      </c>
      <c r="B307" t="s">
        <v>1171</v>
      </c>
    </row>
    <row r="308" spans="1:2" x14ac:dyDescent="0.25">
      <c r="A308" t="s">
        <v>203</v>
      </c>
      <c r="B308" t="s">
        <v>1288</v>
      </c>
    </row>
    <row r="309" spans="1:2" x14ac:dyDescent="0.25">
      <c r="A309" t="s">
        <v>201</v>
      </c>
      <c r="B309" t="s">
        <v>739</v>
      </c>
    </row>
    <row r="310" spans="1:2" x14ac:dyDescent="0.25">
      <c r="A310" t="s">
        <v>203</v>
      </c>
      <c r="B310" t="s">
        <v>166</v>
      </c>
    </row>
    <row r="311" spans="1:2" x14ac:dyDescent="0.25">
      <c r="A311" t="s">
        <v>203</v>
      </c>
      <c r="B311" t="s">
        <v>1289</v>
      </c>
    </row>
    <row r="312" spans="1:2" x14ac:dyDescent="0.25">
      <c r="A312" t="s">
        <v>203</v>
      </c>
      <c r="B312" t="s">
        <v>198</v>
      </c>
    </row>
    <row r="313" spans="1:2" x14ac:dyDescent="0.25">
      <c r="A313" t="s">
        <v>201</v>
      </c>
      <c r="B313" t="s">
        <v>1290</v>
      </c>
    </row>
    <row r="314" spans="1:2" x14ac:dyDescent="0.25">
      <c r="A314" t="s">
        <v>201</v>
      </c>
      <c r="B314" t="s">
        <v>35</v>
      </c>
    </row>
    <row r="315" spans="1:2" x14ac:dyDescent="0.25">
      <c r="A315" t="s">
        <v>203</v>
      </c>
      <c r="B315" t="s">
        <v>96</v>
      </c>
    </row>
    <row r="316" spans="1:2" x14ac:dyDescent="0.25">
      <c r="A316" t="s">
        <v>201</v>
      </c>
      <c r="B316" t="s">
        <v>1291</v>
      </c>
    </row>
    <row r="317" spans="1:2" x14ac:dyDescent="0.25">
      <c r="A317" t="s">
        <v>203</v>
      </c>
      <c r="B317" t="s">
        <v>1292</v>
      </c>
    </row>
    <row r="318" spans="1:2" x14ac:dyDescent="0.25">
      <c r="A318" t="s">
        <v>203</v>
      </c>
      <c r="B318" t="s">
        <v>1293</v>
      </c>
    </row>
    <row r="319" spans="1:2" x14ac:dyDescent="0.25">
      <c r="A319" t="s">
        <v>203</v>
      </c>
      <c r="B319" t="s">
        <v>229</v>
      </c>
    </row>
    <row r="320" spans="1:2" x14ac:dyDescent="0.25">
      <c r="A320" t="s">
        <v>201</v>
      </c>
      <c r="B320" t="s">
        <v>235</v>
      </c>
    </row>
    <row r="321" spans="1:2" x14ac:dyDescent="0.25">
      <c r="A321" t="s">
        <v>201</v>
      </c>
      <c r="B321" t="s">
        <v>1294</v>
      </c>
    </row>
    <row r="322" spans="1:2" x14ac:dyDescent="0.25">
      <c r="A322" t="s">
        <v>201</v>
      </c>
      <c r="B322" t="s">
        <v>1295</v>
      </c>
    </row>
    <row r="323" spans="1:2" x14ac:dyDescent="0.25">
      <c r="A323" t="s">
        <v>203</v>
      </c>
      <c r="B323" t="s">
        <v>1296</v>
      </c>
    </row>
    <row r="324" spans="1:2" x14ac:dyDescent="0.25">
      <c r="A324" t="s">
        <v>201</v>
      </c>
      <c r="B324" t="s">
        <v>1297</v>
      </c>
    </row>
    <row r="325" spans="1:2" x14ac:dyDescent="0.25">
      <c r="A325" t="s">
        <v>201</v>
      </c>
      <c r="B325" t="s">
        <v>1298</v>
      </c>
    </row>
    <row r="326" spans="1:2" x14ac:dyDescent="0.25">
      <c r="A326" t="s">
        <v>201</v>
      </c>
      <c r="B326" t="s">
        <v>221</v>
      </c>
    </row>
    <row r="327" spans="1:2" x14ac:dyDescent="0.25">
      <c r="A327" t="s">
        <v>201</v>
      </c>
      <c r="B327" t="s">
        <v>1051</v>
      </c>
    </row>
    <row r="328" spans="1:2" x14ac:dyDescent="0.25">
      <c r="A328" t="s">
        <v>203</v>
      </c>
      <c r="B328" t="s">
        <v>62</v>
      </c>
    </row>
    <row r="329" spans="1:2" x14ac:dyDescent="0.25">
      <c r="A329" t="s">
        <v>221</v>
      </c>
      <c r="B329" t="s">
        <v>1299</v>
      </c>
    </row>
    <row r="330" spans="1:2" x14ac:dyDescent="0.25">
      <c r="A330" t="s">
        <v>208</v>
      </c>
      <c r="B330" t="s">
        <v>218</v>
      </c>
    </row>
    <row r="331" spans="1:2" x14ac:dyDescent="0.25">
      <c r="A331" t="s">
        <v>201</v>
      </c>
      <c r="B331" t="s">
        <v>1300</v>
      </c>
    </row>
    <row r="332" spans="1:2" x14ac:dyDescent="0.25">
      <c r="A332" t="s">
        <v>201</v>
      </c>
      <c r="B332" t="s">
        <v>375</v>
      </c>
    </row>
    <row r="333" spans="1:2" x14ac:dyDescent="0.25">
      <c r="A333" t="s">
        <v>203</v>
      </c>
      <c r="B333" t="s">
        <v>213</v>
      </c>
    </row>
    <row r="334" spans="1:2" x14ac:dyDescent="0.25">
      <c r="A334" t="s">
        <v>201</v>
      </c>
      <c r="B334" t="s">
        <v>1301</v>
      </c>
    </row>
    <row r="335" spans="1:2" x14ac:dyDescent="0.25">
      <c r="A335" t="s">
        <v>201</v>
      </c>
      <c r="B335" t="s">
        <v>1302</v>
      </c>
    </row>
    <row r="336" spans="1:2" x14ac:dyDescent="0.25">
      <c r="A336" t="s">
        <v>203</v>
      </c>
      <c r="B336" t="s">
        <v>198</v>
      </c>
    </row>
    <row r="337" spans="1:2" x14ac:dyDescent="0.25">
      <c r="A337" t="s">
        <v>201</v>
      </c>
      <c r="B337" t="s">
        <v>1303</v>
      </c>
    </row>
    <row r="338" spans="1:2" x14ac:dyDescent="0.25">
      <c r="A338" t="s">
        <v>221</v>
      </c>
      <c r="B338" t="s">
        <v>1304</v>
      </c>
    </row>
    <row r="339" spans="1:2" x14ac:dyDescent="0.25">
      <c r="A339" t="s">
        <v>201</v>
      </c>
      <c r="B339" t="s">
        <v>398</v>
      </c>
    </row>
    <row r="340" spans="1:2" x14ac:dyDescent="0.25">
      <c r="A340" t="s">
        <v>221</v>
      </c>
      <c r="B340" t="s">
        <v>1305</v>
      </c>
    </row>
    <row r="341" spans="1:2" x14ac:dyDescent="0.25">
      <c r="A341" t="s">
        <v>203</v>
      </c>
      <c r="B341" t="s">
        <v>1306</v>
      </c>
    </row>
    <row r="342" spans="1:2" x14ac:dyDescent="0.25">
      <c r="A342" t="s">
        <v>201</v>
      </c>
      <c r="B342" t="s">
        <v>1307</v>
      </c>
    </row>
    <row r="343" spans="1:2" x14ac:dyDescent="0.25">
      <c r="A343" t="s">
        <v>221</v>
      </c>
      <c r="B343" t="s">
        <v>1308</v>
      </c>
    </row>
    <row r="344" spans="1:2" x14ac:dyDescent="0.25">
      <c r="A344" t="s">
        <v>201</v>
      </c>
      <c r="B344" t="s">
        <v>309</v>
      </c>
    </row>
    <row r="345" spans="1:2" x14ac:dyDescent="0.25">
      <c r="A345" t="s">
        <v>221</v>
      </c>
      <c r="B345" t="s">
        <v>1151</v>
      </c>
    </row>
    <row r="346" spans="1:2" x14ac:dyDescent="0.25">
      <c r="A346" t="s">
        <v>203</v>
      </c>
      <c r="B346" t="s">
        <v>1309</v>
      </c>
    </row>
    <row r="347" spans="1:2" x14ac:dyDescent="0.25">
      <c r="A347" t="s">
        <v>203</v>
      </c>
      <c r="B347" t="s">
        <v>1310</v>
      </c>
    </row>
    <row r="348" spans="1:2" x14ac:dyDescent="0.25">
      <c r="A348" t="s">
        <v>221</v>
      </c>
      <c r="B348" t="s">
        <v>442</v>
      </c>
    </row>
    <row r="349" spans="1:2" x14ac:dyDescent="0.25">
      <c r="A349" t="s">
        <v>201</v>
      </c>
      <c r="B349" t="s">
        <v>1311</v>
      </c>
    </row>
    <row r="350" spans="1:2" x14ac:dyDescent="0.25">
      <c r="A350" t="s">
        <v>203</v>
      </c>
      <c r="B350" t="s">
        <v>1312</v>
      </c>
    </row>
    <row r="351" spans="1:2" x14ac:dyDescent="0.25">
      <c r="A351" t="s">
        <v>201</v>
      </c>
      <c r="B351" t="s">
        <v>212</v>
      </c>
    </row>
    <row r="352" spans="1:2" x14ac:dyDescent="0.25">
      <c r="A352" t="s">
        <v>203</v>
      </c>
      <c r="B352" t="s">
        <v>1313</v>
      </c>
    </row>
    <row r="353" spans="1:2" x14ac:dyDescent="0.25">
      <c r="A353" t="s">
        <v>203</v>
      </c>
      <c r="B353" t="s">
        <v>234</v>
      </c>
    </row>
    <row r="354" spans="1:2" x14ac:dyDescent="0.25">
      <c r="A354" t="s">
        <v>201</v>
      </c>
      <c r="B354" t="s">
        <v>212</v>
      </c>
    </row>
    <row r="355" spans="1:2" x14ac:dyDescent="0.25">
      <c r="A355" t="s">
        <v>201</v>
      </c>
      <c r="B355" t="s">
        <v>263</v>
      </c>
    </row>
    <row r="356" spans="1:2" x14ac:dyDescent="0.25">
      <c r="A356" t="s">
        <v>203</v>
      </c>
      <c r="B356" t="s">
        <v>331</v>
      </c>
    </row>
    <row r="357" spans="1:2" x14ac:dyDescent="0.25">
      <c r="A357" t="s">
        <v>203</v>
      </c>
      <c r="B357" t="s">
        <v>78</v>
      </c>
    </row>
    <row r="358" spans="1:2" x14ac:dyDescent="0.25">
      <c r="A358" t="s">
        <v>221</v>
      </c>
      <c r="B358" t="s">
        <v>263</v>
      </c>
    </row>
    <row r="359" spans="1:2" x14ac:dyDescent="0.25">
      <c r="A359" t="s">
        <v>201</v>
      </c>
      <c r="B359" t="s">
        <v>1314</v>
      </c>
    </row>
    <row r="360" spans="1:2" x14ac:dyDescent="0.25">
      <c r="A360" t="s">
        <v>208</v>
      </c>
      <c r="B360" t="s">
        <v>1315</v>
      </c>
    </row>
    <row r="361" spans="1:2" x14ac:dyDescent="0.25">
      <c r="A361" t="s">
        <v>221</v>
      </c>
      <c r="B361" t="s">
        <v>1316</v>
      </c>
    </row>
    <row r="362" spans="1:2" x14ac:dyDescent="0.25">
      <c r="A362" t="s">
        <v>203</v>
      </c>
      <c r="B362" t="s">
        <v>1317</v>
      </c>
    </row>
    <row r="363" spans="1:2" x14ac:dyDescent="0.25">
      <c r="A363" t="s">
        <v>221</v>
      </c>
      <c r="B363" t="s">
        <v>212</v>
      </c>
    </row>
    <row r="364" spans="1:2" x14ac:dyDescent="0.25">
      <c r="A364" t="s">
        <v>226</v>
      </c>
      <c r="B364" t="s">
        <v>1318</v>
      </c>
    </row>
    <row r="365" spans="1:2" x14ac:dyDescent="0.25">
      <c r="A365" t="s">
        <v>201</v>
      </c>
      <c r="B365" t="s">
        <v>1319</v>
      </c>
    </row>
    <row r="366" spans="1:2" x14ac:dyDescent="0.25">
      <c r="A366" t="s">
        <v>203</v>
      </c>
      <c r="B366" t="s">
        <v>278</v>
      </c>
    </row>
    <row r="367" spans="1:2" x14ac:dyDescent="0.25">
      <c r="A367" t="s">
        <v>201</v>
      </c>
      <c r="B367" t="s">
        <v>396</v>
      </c>
    </row>
    <row r="368" spans="1:2" x14ac:dyDescent="0.25">
      <c r="A368" t="s">
        <v>203</v>
      </c>
      <c r="B368" t="s">
        <v>1320</v>
      </c>
    </row>
    <row r="369" spans="1:2" x14ac:dyDescent="0.25">
      <c r="A369" t="s">
        <v>221</v>
      </c>
      <c r="B369" t="s">
        <v>398</v>
      </c>
    </row>
    <row r="370" spans="1:2" x14ac:dyDescent="0.25">
      <c r="A370" t="s">
        <v>203</v>
      </c>
      <c r="B370" t="s">
        <v>206</v>
      </c>
    </row>
    <row r="371" spans="1:2" x14ac:dyDescent="0.25">
      <c r="A371" t="s">
        <v>221</v>
      </c>
      <c r="B371" t="s">
        <v>1152</v>
      </c>
    </row>
    <row r="372" spans="1:2" x14ac:dyDescent="0.25">
      <c r="A372" t="s">
        <v>201</v>
      </c>
      <c r="B372" t="s">
        <v>1321</v>
      </c>
    </row>
    <row r="373" spans="1:2" x14ac:dyDescent="0.25">
      <c r="A373" t="s">
        <v>203</v>
      </c>
      <c r="B373" t="s">
        <v>72</v>
      </c>
    </row>
    <row r="374" spans="1:2" x14ac:dyDescent="0.25">
      <c r="A374" t="s">
        <v>221</v>
      </c>
      <c r="B374" t="s">
        <v>396</v>
      </c>
    </row>
    <row r="375" spans="1:2" x14ac:dyDescent="0.25">
      <c r="A375" t="s">
        <v>226</v>
      </c>
      <c r="B375" t="s">
        <v>1322</v>
      </c>
    </row>
    <row r="376" spans="1:2" x14ac:dyDescent="0.25">
      <c r="A376" t="s">
        <v>201</v>
      </c>
      <c r="B376" t="s">
        <v>1323</v>
      </c>
    </row>
    <row r="377" spans="1:2" x14ac:dyDescent="0.25">
      <c r="A377" t="s">
        <v>201</v>
      </c>
      <c r="B377" t="s">
        <v>1324</v>
      </c>
    </row>
    <row r="378" spans="1:2" x14ac:dyDescent="0.25">
      <c r="A378" t="s">
        <v>203</v>
      </c>
      <c r="B378" t="s">
        <v>1325</v>
      </c>
    </row>
    <row r="379" spans="1:2" x14ac:dyDescent="0.25">
      <c r="A379" t="s">
        <v>203</v>
      </c>
      <c r="B379" t="s">
        <v>1326</v>
      </c>
    </row>
    <row r="380" spans="1:2" x14ac:dyDescent="0.25">
      <c r="A380" t="s">
        <v>203</v>
      </c>
      <c r="B380" t="s">
        <v>1327</v>
      </c>
    </row>
    <row r="381" spans="1:2" x14ac:dyDescent="0.25">
      <c r="A381" t="s">
        <v>201</v>
      </c>
      <c r="B381" t="s">
        <v>1328</v>
      </c>
    </row>
    <row r="382" spans="1:2" x14ac:dyDescent="0.25">
      <c r="A382" t="s">
        <v>203</v>
      </c>
      <c r="B382" t="s">
        <v>276</v>
      </c>
    </row>
    <row r="383" spans="1:2" x14ac:dyDescent="0.25">
      <c r="A383" t="s">
        <v>203</v>
      </c>
      <c r="B383" t="s">
        <v>278</v>
      </c>
    </row>
    <row r="384" spans="1:2" x14ac:dyDescent="0.25">
      <c r="A384" t="s">
        <v>203</v>
      </c>
      <c r="B384" t="s">
        <v>1329</v>
      </c>
    </row>
    <row r="385" spans="1:2" x14ac:dyDescent="0.25">
      <c r="A385" t="s">
        <v>203</v>
      </c>
      <c r="B385" t="s">
        <v>387</v>
      </c>
    </row>
    <row r="386" spans="1:2" x14ac:dyDescent="0.25">
      <c r="A386" t="s">
        <v>203</v>
      </c>
      <c r="B386" t="s">
        <v>320</v>
      </c>
    </row>
    <row r="387" spans="1:2" x14ac:dyDescent="0.25">
      <c r="A387" t="s">
        <v>208</v>
      </c>
      <c r="B387" t="s">
        <v>1330</v>
      </c>
    </row>
    <row r="388" spans="1:2" x14ac:dyDescent="0.25">
      <c r="A388" t="s">
        <v>208</v>
      </c>
      <c r="B388" t="s">
        <v>1331</v>
      </c>
    </row>
    <row r="389" spans="1:2" x14ac:dyDescent="0.25">
      <c r="A389" t="s">
        <v>203</v>
      </c>
      <c r="B389" t="s">
        <v>1311</v>
      </c>
    </row>
    <row r="390" spans="1:2" x14ac:dyDescent="0.25">
      <c r="A390" t="s">
        <v>201</v>
      </c>
      <c r="B390" t="s">
        <v>1332</v>
      </c>
    </row>
    <row r="391" spans="1:2" x14ac:dyDescent="0.25">
      <c r="A391" t="s">
        <v>201</v>
      </c>
      <c r="B391" t="s">
        <v>1333</v>
      </c>
    </row>
    <row r="392" spans="1:2" x14ac:dyDescent="0.25">
      <c r="A392" t="s">
        <v>221</v>
      </c>
      <c r="B392" t="s">
        <v>398</v>
      </c>
    </row>
    <row r="393" spans="1:2" x14ac:dyDescent="0.25">
      <c r="A393" t="s">
        <v>203</v>
      </c>
      <c r="B393" t="s">
        <v>72</v>
      </c>
    </row>
    <row r="394" spans="1:2" x14ac:dyDescent="0.25">
      <c r="A394" t="s">
        <v>221</v>
      </c>
      <c r="B394" t="s">
        <v>1334</v>
      </c>
    </row>
    <row r="395" spans="1:2" x14ac:dyDescent="0.25">
      <c r="A395" t="s">
        <v>203</v>
      </c>
      <c r="B395" t="s">
        <v>1335</v>
      </c>
    </row>
    <row r="396" spans="1:2" x14ac:dyDescent="0.25">
      <c r="A396" t="s">
        <v>201</v>
      </c>
      <c r="B396" t="s">
        <v>212</v>
      </c>
    </row>
    <row r="397" spans="1:2" x14ac:dyDescent="0.25">
      <c r="A397" t="s">
        <v>201</v>
      </c>
      <c r="B397" t="s">
        <v>1336</v>
      </c>
    </row>
    <row r="398" spans="1:2" x14ac:dyDescent="0.25">
      <c r="A398" t="s">
        <v>201</v>
      </c>
      <c r="B398" t="s">
        <v>1337</v>
      </c>
    </row>
    <row r="399" spans="1:2" x14ac:dyDescent="0.25">
      <c r="A399" t="s">
        <v>201</v>
      </c>
      <c r="B399" t="s">
        <v>229</v>
      </c>
    </row>
    <row r="400" spans="1:2" x14ac:dyDescent="0.25">
      <c r="A400" t="s">
        <v>203</v>
      </c>
      <c r="B400" t="s">
        <v>1338</v>
      </c>
    </row>
    <row r="401" spans="1:2" x14ac:dyDescent="0.25">
      <c r="A401" t="s">
        <v>203</v>
      </c>
      <c r="B401" t="s">
        <v>1339</v>
      </c>
    </row>
    <row r="402" spans="1:2" x14ac:dyDescent="0.25">
      <c r="A402" t="s">
        <v>203</v>
      </c>
      <c r="B402" t="s">
        <v>924</v>
      </c>
    </row>
    <row r="403" spans="1:2" x14ac:dyDescent="0.25">
      <c r="A403" t="s">
        <v>203</v>
      </c>
      <c r="B403" t="s">
        <v>198</v>
      </c>
    </row>
    <row r="404" spans="1:2" x14ac:dyDescent="0.25">
      <c r="A404" t="s">
        <v>208</v>
      </c>
      <c r="B404" t="s">
        <v>46</v>
      </c>
    </row>
    <row r="405" spans="1:2" x14ac:dyDescent="0.25">
      <c r="A405" t="s">
        <v>208</v>
      </c>
      <c r="B405" t="s">
        <v>74</v>
      </c>
    </row>
    <row r="406" spans="1:2" x14ac:dyDescent="0.25">
      <c r="A406" t="s">
        <v>203</v>
      </c>
      <c r="B406" t="s">
        <v>1340</v>
      </c>
    </row>
    <row r="407" spans="1:2" x14ac:dyDescent="0.25">
      <c r="A407" t="s">
        <v>203</v>
      </c>
      <c r="B407" t="s">
        <v>198</v>
      </c>
    </row>
    <row r="408" spans="1:2" x14ac:dyDescent="0.25">
      <c r="A408" t="s">
        <v>201</v>
      </c>
      <c r="B408" t="s">
        <v>62</v>
      </c>
    </row>
    <row r="409" spans="1:2" x14ac:dyDescent="0.25">
      <c r="A409" t="s">
        <v>203</v>
      </c>
      <c r="B409" t="s">
        <v>1341</v>
      </c>
    </row>
    <row r="410" spans="1:2" x14ac:dyDescent="0.25">
      <c r="A410" t="s">
        <v>201</v>
      </c>
      <c r="B410" t="s">
        <v>1342</v>
      </c>
    </row>
    <row r="411" spans="1:2" x14ac:dyDescent="0.25">
      <c r="A411" t="s">
        <v>203</v>
      </c>
      <c r="B411" t="s">
        <v>1343</v>
      </c>
    </row>
    <row r="412" spans="1:2" x14ac:dyDescent="0.25">
      <c r="A412" t="s">
        <v>201</v>
      </c>
      <c r="B412" t="s">
        <v>1344</v>
      </c>
    </row>
    <row r="413" spans="1:2" x14ac:dyDescent="0.25">
      <c r="A413" t="s">
        <v>201</v>
      </c>
      <c r="B413" t="s">
        <v>1022</v>
      </c>
    </row>
    <row r="414" spans="1:2" x14ac:dyDescent="0.25">
      <c r="A414" t="s">
        <v>203</v>
      </c>
      <c r="B414" t="s">
        <v>1345</v>
      </c>
    </row>
    <row r="415" spans="1:2" x14ac:dyDescent="0.25">
      <c r="A415" t="s">
        <v>201</v>
      </c>
      <c r="B415" t="s">
        <v>1346</v>
      </c>
    </row>
    <row r="416" spans="1:2" x14ac:dyDescent="0.25">
      <c r="A416" t="s">
        <v>221</v>
      </c>
      <c r="B416" t="s">
        <v>1347</v>
      </c>
    </row>
    <row r="417" spans="1:2" x14ac:dyDescent="0.25">
      <c r="A417" t="s">
        <v>201</v>
      </c>
      <c r="B417" t="s">
        <v>1348</v>
      </c>
    </row>
    <row r="418" spans="1:2" x14ac:dyDescent="0.25">
      <c r="A418" t="s">
        <v>226</v>
      </c>
      <c r="B418" t="s">
        <v>1349</v>
      </c>
    </row>
    <row r="419" spans="1:2" x14ac:dyDescent="0.25">
      <c r="A419" t="s">
        <v>201</v>
      </c>
      <c r="B419" t="s">
        <v>912</v>
      </c>
    </row>
    <row r="420" spans="1:2" x14ac:dyDescent="0.25">
      <c r="A420" t="s">
        <v>201</v>
      </c>
      <c r="B420" t="s">
        <v>934</v>
      </c>
    </row>
    <row r="421" spans="1:2" x14ac:dyDescent="0.25">
      <c r="A421" t="s">
        <v>226</v>
      </c>
      <c r="B421" t="s">
        <v>1350</v>
      </c>
    </row>
    <row r="422" spans="1:2" x14ac:dyDescent="0.25">
      <c r="A422" t="s">
        <v>203</v>
      </c>
      <c r="B422" t="s">
        <v>78</v>
      </c>
    </row>
    <row r="423" spans="1:2" x14ac:dyDescent="0.25">
      <c r="A423" t="s">
        <v>203</v>
      </c>
      <c r="B423" t="s">
        <v>1351</v>
      </c>
    </row>
    <row r="424" spans="1:2" x14ac:dyDescent="0.25">
      <c r="A424" t="s">
        <v>221</v>
      </c>
      <c r="B424" t="s">
        <v>1352</v>
      </c>
    </row>
    <row r="425" spans="1:2" x14ac:dyDescent="0.25">
      <c r="A425" t="s">
        <v>201</v>
      </c>
      <c r="B425" t="s">
        <v>1285</v>
      </c>
    </row>
    <row r="426" spans="1:2" x14ac:dyDescent="0.25">
      <c r="A426" t="s">
        <v>203</v>
      </c>
      <c r="B426" t="s">
        <v>954</v>
      </c>
    </row>
    <row r="427" spans="1:2" x14ac:dyDescent="0.25">
      <c r="A427" t="s">
        <v>203</v>
      </c>
      <c r="B427" t="s">
        <v>1353</v>
      </c>
    </row>
    <row r="428" spans="1:2" x14ac:dyDescent="0.25">
      <c r="A428" t="s">
        <v>203</v>
      </c>
      <c r="B428" t="s">
        <v>74</v>
      </c>
    </row>
    <row r="429" spans="1:2" x14ac:dyDescent="0.25">
      <c r="A429" t="s">
        <v>201</v>
      </c>
      <c r="B429" t="s">
        <v>1162</v>
      </c>
    </row>
    <row r="430" spans="1:2" x14ac:dyDescent="0.25">
      <c r="A430" t="s">
        <v>203</v>
      </c>
      <c r="B430" t="s">
        <v>1354</v>
      </c>
    </row>
    <row r="431" spans="1:2" x14ac:dyDescent="0.25">
      <c r="A431" t="s">
        <v>201</v>
      </c>
      <c r="B431" t="s">
        <v>1355</v>
      </c>
    </row>
    <row r="432" spans="1:2" x14ac:dyDescent="0.25">
      <c r="A432" t="s">
        <v>208</v>
      </c>
      <c r="B432" t="s">
        <v>357</v>
      </c>
    </row>
    <row r="433" spans="1:2" x14ac:dyDescent="0.25">
      <c r="A433" t="s">
        <v>201</v>
      </c>
      <c r="B433" t="s">
        <v>328</v>
      </c>
    </row>
    <row r="434" spans="1:2" x14ac:dyDescent="0.25">
      <c r="A434" t="s">
        <v>201</v>
      </c>
      <c r="B434" t="s">
        <v>1356</v>
      </c>
    </row>
    <row r="435" spans="1:2" x14ac:dyDescent="0.25">
      <c r="A435" t="s">
        <v>203</v>
      </c>
      <c r="B435" t="s">
        <v>260</v>
      </c>
    </row>
    <row r="436" spans="1:2" x14ac:dyDescent="0.25">
      <c r="A436" t="s">
        <v>221</v>
      </c>
      <c r="B436" t="s">
        <v>1357</v>
      </c>
    </row>
    <row r="437" spans="1:2" x14ac:dyDescent="0.25">
      <c r="A437" t="s">
        <v>203</v>
      </c>
      <c r="B437" t="s">
        <v>1358</v>
      </c>
    </row>
    <row r="438" spans="1:2" x14ac:dyDescent="0.25">
      <c r="A438" t="s">
        <v>221</v>
      </c>
      <c r="B438" t="s">
        <v>496</v>
      </c>
    </row>
    <row r="439" spans="1:2" x14ac:dyDescent="0.25">
      <c r="A439" t="s">
        <v>203</v>
      </c>
      <c r="B439" t="s">
        <v>1359</v>
      </c>
    </row>
    <row r="440" spans="1:2" x14ac:dyDescent="0.25">
      <c r="A440" t="s">
        <v>203</v>
      </c>
      <c r="B440" t="s">
        <v>152</v>
      </c>
    </row>
    <row r="441" spans="1:2" x14ac:dyDescent="0.25">
      <c r="A441" t="s">
        <v>203</v>
      </c>
      <c r="B441" t="s">
        <v>263</v>
      </c>
    </row>
    <row r="442" spans="1:2" x14ac:dyDescent="0.25">
      <c r="A442" t="s">
        <v>203</v>
      </c>
      <c r="B442" t="s">
        <v>1360</v>
      </c>
    </row>
    <row r="443" spans="1:2" x14ac:dyDescent="0.25">
      <c r="A443" t="s">
        <v>201</v>
      </c>
      <c r="B443" t="s">
        <v>1361</v>
      </c>
    </row>
    <row r="444" spans="1:2" x14ac:dyDescent="0.25">
      <c r="A444" t="s">
        <v>203</v>
      </c>
      <c r="B444" t="s">
        <v>1362</v>
      </c>
    </row>
    <row r="445" spans="1:2" x14ac:dyDescent="0.25">
      <c r="A445" t="s">
        <v>203</v>
      </c>
      <c r="B445" t="s">
        <v>206</v>
      </c>
    </row>
    <row r="446" spans="1:2" x14ac:dyDescent="0.25">
      <c r="A446" t="s">
        <v>221</v>
      </c>
      <c r="B446" t="s">
        <v>1363</v>
      </c>
    </row>
    <row r="447" spans="1:2" x14ac:dyDescent="0.25">
      <c r="A447" t="s">
        <v>203</v>
      </c>
      <c r="B447" t="s">
        <v>1364</v>
      </c>
    </row>
    <row r="448" spans="1:2" x14ac:dyDescent="0.25">
      <c r="A448" t="s">
        <v>208</v>
      </c>
      <c r="B448" t="s">
        <v>1365</v>
      </c>
    </row>
    <row r="449" spans="1:2" x14ac:dyDescent="0.25">
      <c r="A449" t="s">
        <v>201</v>
      </c>
      <c r="B449" t="s">
        <v>564</v>
      </c>
    </row>
    <row r="450" spans="1:2" x14ac:dyDescent="0.25">
      <c r="A450" t="s">
        <v>203</v>
      </c>
      <c r="B450" t="s">
        <v>1366</v>
      </c>
    </row>
    <row r="451" spans="1:2" x14ac:dyDescent="0.25">
      <c r="A451" t="s">
        <v>203</v>
      </c>
      <c r="B451" t="s">
        <v>1367</v>
      </c>
    </row>
    <row r="452" spans="1:2" x14ac:dyDescent="0.25">
      <c r="A452" t="s">
        <v>201</v>
      </c>
      <c r="B452" t="s">
        <v>1368</v>
      </c>
    </row>
    <row r="453" spans="1:2" x14ac:dyDescent="0.25">
      <c r="A453" t="s">
        <v>201</v>
      </c>
      <c r="B453" t="s">
        <v>1369</v>
      </c>
    </row>
    <row r="454" spans="1:2" x14ac:dyDescent="0.25">
      <c r="A454" t="s">
        <v>201</v>
      </c>
      <c r="B454" t="s">
        <v>1370</v>
      </c>
    </row>
    <row r="455" spans="1:2" x14ac:dyDescent="0.25">
      <c r="A455" t="s">
        <v>203</v>
      </c>
      <c r="B455" t="s">
        <v>1371</v>
      </c>
    </row>
    <row r="456" spans="1:2" x14ac:dyDescent="0.25">
      <c r="A456" t="s">
        <v>201</v>
      </c>
      <c r="B456" t="s">
        <v>1127</v>
      </c>
    </row>
    <row r="457" spans="1:2" x14ac:dyDescent="0.25">
      <c r="A457" t="s">
        <v>201</v>
      </c>
      <c r="B457" t="s">
        <v>309</v>
      </c>
    </row>
    <row r="458" spans="1:2" x14ac:dyDescent="0.25">
      <c r="A458" t="s">
        <v>201</v>
      </c>
      <c r="B458" t="s">
        <v>212</v>
      </c>
    </row>
    <row r="459" spans="1:2" x14ac:dyDescent="0.25">
      <c r="A459" t="s">
        <v>201</v>
      </c>
      <c r="B459" t="s">
        <v>1251</v>
      </c>
    </row>
    <row r="460" spans="1:2" x14ac:dyDescent="0.25">
      <c r="A460" t="s">
        <v>201</v>
      </c>
      <c r="B460" t="s">
        <v>1372</v>
      </c>
    </row>
    <row r="461" spans="1:2" x14ac:dyDescent="0.25">
      <c r="A461" t="s">
        <v>201</v>
      </c>
      <c r="B461" t="s">
        <v>1328</v>
      </c>
    </row>
    <row r="462" spans="1:2" x14ac:dyDescent="0.25">
      <c r="A462" t="s">
        <v>203</v>
      </c>
      <c r="B462" t="s">
        <v>78</v>
      </c>
    </row>
    <row r="463" spans="1:2" x14ac:dyDescent="0.25">
      <c r="A463" t="s">
        <v>201</v>
      </c>
      <c r="B463" t="s">
        <v>1373</v>
      </c>
    </row>
    <row r="464" spans="1:2" x14ac:dyDescent="0.25">
      <c r="A464" t="s">
        <v>203</v>
      </c>
      <c r="B464" t="s">
        <v>96</v>
      </c>
    </row>
    <row r="465" spans="1:2" x14ac:dyDescent="0.25">
      <c r="A465" t="s">
        <v>201</v>
      </c>
      <c r="B465" t="s">
        <v>212</v>
      </c>
    </row>
    <row r="466" spans="1:2" x14ac:dyDescent="0.25">
      <c r="A466" t="s">
        <v>221</v>
      </c>
      <c r="B466" t="s">
        <v>1374</v>
      </c>
    </row>
    <row r="467" spans="1:2" x14ac:dyDescent="0.25">
      <c r="A467" t="s">
        <v>201</v>
      </c>
      <c r="B467" t="s">
        <v>1375</v>
      </c>
    </row>
    <row r="468" spans="1:2" x14ac:dyDescent="0.25">
      <c r="A468" t="s">
        <v>203</v>
      </c>
      <c r="B468" t="s">
        <v>53</v>
      </c>
    </row>
    <row r="469" spans="1:2" x14ac:dyDescent="0.25">
      <c r="A469" t="s">
        <v>201</v>
      </c>
      <c r="B469" t="s">
        <v>184</v>
      </c>
    </row>
    <row r="470" spans="1:2" x14ac:dyDescent="0.25">
      <c r="A470" t="s">
        <v>203</v>
      </c>
      <c r="B470" t="s">
        <v>96</v>
      </c>
    </row>
    <row r="471" spans="1:2" x14ac:dyDescent="0.25">
      <c r="A471" t="s">
        <v>208</v>
      </c>
      <c r="B471" t="s">
        <v>1376</v>
      </c>
    </row>
    <row r="472" spans="1:2" x14ac:dyDescent="0.25">
      <c r="A472" t="s">
        <v>203</v>
      </c>
      <c r="B472" t="s">
        <v>1377</v>
      </c>
    </row>
    <row r="473" spans="1:2" x14ac:dyDescent="0.25">
      <c r="A473" t="s">
        <v>203</v>
      </c>
      <c r="B473" t="s">
        <v>1378</v>
      </c>
    </row>
    <row r="474" spans="1:2" x14ac:dyDescent="0.25">
      <c r="A474" t="s">
        <v>203</v>
      </c>
      <c r="B474" t="s">
        <v>278</v>
      </c>
    </row>
    <row r="475" spans="1:2" x14ac:dyDescent="0.25">
      <c r="A475" t="s">
        <v>201</v>
      </c>
      <c r="B475" t="s">
        <v>974</v>
      </c>
    </row>
    <row r="476" spans="1:2" x14ac:dyDescent="0.25">
      <c r="A476" t="s">
        <v>226</v>
      </c>
      <c r="B476" t="s">
        <v>278</v>
      </c>
    </row>
    <row r="477" spans="1:2" x14ac:dyDescent="0.25">
      <c r="A477" t="s">
        <v>203</v>
      </c>
      <c r="B477" t="s">
        <v>278</v>
      </c>
    </row>
    <row r="478" spans="1:2" x14ac:dyDescent="0.25">
      <c r="A478" t="s">
        <v>203</v>
      </c>
      <c r="B478" t="s">
        <v>1379</v>
      </c>
    </row>
    <row r="479" spans="1:2" x14ac:dyDescent="0.25">
      <c r="A479" t="s">
        <v>221</v>
      </c>
      <c r="B479" t="s">
        <v>1380</v>
      </c>
    </row>
    <row r="480" spans="1:2" x14ac:dyDescent="0.25">
      <c r="A480" t="s">
        <v>226</v>
      </c>
      <c r="B480" t="s">
        <v>1381</v>
      </c>
    </row>
    <row r="481" spans="1:2" x14ac:dyDescent="0.25">
      <c r="A481" t="s">
        <v>203</v>
      </c>
      <c r="B481" t="s">
        <v>278</v>
      </c>
    </row>
    <row r="482" spans="1:2" x14ac:dyDescent="0.25">
      <c r="A482" t="s">
        <v>203</v>
      </c>
      <c r="B482" t="s">
        <v>1382</v>
      </c>
    </row>
    <row r="483" spans="1:2" x14ac:dyDescent="0.25">
      <c r="A483" t="s">
        <v>203</v>
      </c>
      <c r="B483" t="s">
        <v>1383</v>
      </c>
    </row>
    <row r="484" spans="1:2" x14ac:dyDescent="0.25">
      <c r="A484" t="s">
        <v>203</v>
      </c>
      <c r="B484" t="s">
        <v>979</v>
      </c>
    </row>
    <row r="485" spans="1:2" x14ac:dyDescent="0.25">
      <c r="A485" t="s">
        <v>203</v>
      </c>
      <c r="B485" t="s">
        <v>62</v>
      </c>
    </row>
    <row r="486" spans="1:2" x14ac:dyDescent="0.25">
      <c r="A486" t="s">
        <v>201</v>
      </c>
      <c r="B486" t="s">
        <v>1384</v>
      </c>
    </row>
    <row r="487" spans="1:2" x14ac:dyDescent="0.25">
      <c r="A487" t="s">
        <v>203</v>
      </c>
      <c r="B487" t="s">
        <v>537</v>
      </c>
    </row>
    <row r="488" spans="1:2" x14ac:dyDescent="0.25">
      <c r="A488" t="s">
        <v>208</v>
      </c>
      <c r="B488" t="s">
        <v>1385</v>
      </c>
    </row>
    <row r="489" spans="1:2" x14ac:dyDescent="0.25">
      <c r="A489" t="s">
        <v>203</v>
      </c>
      <c r="B489" t="s">
        <v>29</v>
      </c>
    </row>
    <row r="490" spans="1:2" x14ac:dyDescent="0.25">
      <c r="A490" t="s">
        <v>201</v>
      </c>
      <c r="B490" t="s">
        <v>1386</v>
      </c>
    </row>
    <row r="491" spans="1:2" x14ac:dyDescent="0.25">
      <c r="A491" t="s">
        <v>203</v>
      </c>
      <c r="B491" t="s">
        <v>78</v>
      </c>
    </row>
    <row r="492" spans="1:2" x14ac:dyDescent="0.25">
      <c r="A492" t="s">
        <v>203</v>
      </c>
      <c r="B492" t="s">
        <v>1387</v>
      </c>
    </row>
    <row r="493" spans="1:2" x14ac:dyDescent="0.25">
      <c r="A493" t="s">
        <v>203</v>
      </c>
      <c r="B493" t="s">
        <v>53</v>
      </c>
    </row>
    <row r="494" spans="1:2" x14ac:dyDescent="0.25">
      <c r="A494" t="s">
        <v>201</v>
      </c>
      <c r="B494" t="s">
        <v>1002</v>
      </c>
    </row>
    <row r="495" spans="1:2" x14ac:dyDescent="0.25">
      <c r="A495" t="s">
        <v>201</v>
      </c>
      <c r="B495" t="s">
        <v>985</v>
      </c>
    </row>
    <row r="496" spans="1:2" x14ac:dyDescent="0.25">
      <c r="A496" t="s">
        <v>203</v>
      </c>
      <c r="B496" t="s">
        <v>1388</v>
      </c>
    </row>
    <row r="497" spans="1:2" x14ac:dyDescent="0.25">
      <c r="A497" t="s">
        <v>201</v>
      </c>
      <c r="B497" t="s">
        <v>560</v>
      </c>
    </row>
    <row r="498" spans="1:2" x14ac:dyDescent="0.25">
      <c r="A498" t="s">
        <v>203</v>
      </c>
      <c r="B498" t="s">
        <v>987</v>
      </c>
    </row>
    <row r="499" spans="1:2" x14ac:dyDescent="0.25">
      <c r="A499" t="s">
        <v>203</v>
      </c>
      <c r="B499" t="s">
        <v>74</v>
      </c>
    </row>
    <row r="500" spans="1:2" x14ac:dyDescent="0.25">
      <c r="A500" t="s">
        <v>203</v>
      </c>
      <c r="B500" t="s">
        <v>71</v>
      </c>
    </row>
    <row r="501" spans="1:2" x14ac:dyDescent="0.25">
      <c r="A501" t="s">
        <v>203</v>
      </c>
      <c r="B501" t="s">
        <v>1389</v>
      </c>
    </row>
    <row r="502" spans="1:2" x14ac:dyDescent="0.25">
      <c r="A502" t="s">
        <v>201</v>
      </c>
      <c r="B502" t="s">
        <v>309</v>
      </c>
    </row>
    <row r="503" spans="1:2" x14ac:dyDescent="0.25">
      <c r="A503" t="s">
        <v>203</v>
      </c>
      <c r="B503" t="s">
        <v>1390</v>
      </c>
    </row>
    <row r="504" spans="1:2" x14ac:dyDescent="0.25">
      <c r="A504" t="s">
        <v>201</v>
      </c>
      <c r="B504" t="s">
        <v>328</v>
      </c>
    </row>
    <row r="505" spans="1:2" x14ac:dyDescent="0.25">
      <c r="A505" t="s">
        <v>201</v>
      </c>
      <c r="B505" t="s">
        <v>725</v>
      </c>
    </row>
    <row r="506" spans="1:2" x14ac:dyDescent="0.25">
      <c r="A506" t="s">
        <v>203</v>
      </c>
      <c r="B506" t="s">
        <v>1391</v>
      </c>
    </row>
    <row r="507" spans="1:2" x14ac:dyDescent="0.25">
      <c r="A507" t="s">
        <v>203</v>
      </c>
      <c r="B507" t="s">
        <v>294</v>
      </c>
    </row>
    <row r="508" spans="1:2" x14ac:dyDescent="0.25">
      <c r="A508" t="s">
        <v>203</v>
      </c>
      <c r="B508" t="s">
        <v>769</v>
      </c>
    </row>
    <row r="509" spans="1:2" x14ac:dyDescent="0.25">
      <c r="A509" t="s">
        <v>201</v>
      </c>
      <c r="B509" t="s">
        <v>552</v>
      </c>
    </row>
    <row r="510" spans="1:2" x14ac:dyDescent="0.25">
      <c r="A510" t="s">
        <v>226</v>
      </c>
      <c r="B510" t="s">
        <v>1392</v>
      </c>
    </row>
    <row r="511" spans="1:2" x14ac:dyDescent="0.25">
      <c r="A511" t="s">
        <v>203</v>
      </c>
      <c r="B511" t="s">
        <v>72</v>
      </c>
    </row>
    <row r="512" spans="1:2" x14ac:dyDescent="0.25">
      <c r="A512" t="s">
        <v>201</v>
      </c>
      <c r="B512" t="s">
        <v>256</v>
      </c>
    </row>
    <row r="513" spans="1:2" x14ac:dyDescent="0.25">
      <c r="A513" t="s">
        <v>201</v>
      </c>
      <c r="B513" t="s">
        <v>1393</v>
      </c>
    </row>
    <row r="514" spans="1:2" x14ac:dyDescent="0.25">
      <c r="A514" t="s">
        <v>201</v>
      </c>
      <c r="B514" t="s">
        <v>1394</v>
      </c>
    </row>
    <row r="515" spans="1:2" x14ac:dyDescent="0.25">
      <c r="A515" t="s">
        <v>221</v>
      </c>
      <c r="B515" t="s">
        <v>1395</v>
      </c>
    </row>
    <row r="516" spans="1:2" x14ac:dyDescent="0.25">
      <c r="A516" t="s">
        <v>203</v>
      </c>
      <c r="B516" t="s">
        <v>556</v>
      </c>
    </row>
    <row r="517" spans="1:2" x14ac:dyDescent="0.25">
      <c r="A517" t="s">
        <v>203</v>
      </c>
      <c r="B517" t="s">
        <v>1396</v>
      </c>
    </row>
    <row r="518" spans="1:2" x14ac:dyDescent="0.25">
      <c r="A518" t="s">
        <v>226</v>
      </c>
      <c r="B518" t="s">
        <v>1397</v>
      </c>
    </row>
    <row r="519" spans="1:2" x14ac:dyDescent="0.25">
      <c r="A519" t="s">
        <v>221</v>
      </c>
      <c r="B519" t="s">
        <v>1398</v>
      </c>
    </row>
    <row r="520" spans="1:2" x14ac:dyDescent="0.25">
      <c r="A520" t="s">
        <v>221</v>
      </c>
      <c r="B520" t="s">
        <v>398</v>
      </c>
    </row>
    <row r="521" spans="1:2" x14ac:dyDescent="0.25">
      <c r="A521" t="s">
        <v>201</v>
      </c>
      <c r="B521" t="s">
        <v>1051</v>
      </c>
    </row>
    <row r="522" spans="1:2" x14ac:dyDescent="0.25">
      <c r="A522" t="s">
        <v>201</v>
      </c>
      <c r="B522" t="s">
        <v>999</v>
      </c>
    </row>
    <row r="523" spans="1:2" x14ac:dyDescent="0.25">
      <c r="A523" t="s">
        <v>201</v>
      </c>
      <c r="B523" t="s">
        <v>558</v>
      </c>
    </row>
    <row r="524" spans="1:2" x14ac:dyDescent="0.25">
      <c r="A524" t="s">
        <v>203</v>
      </c>
      <c r="B524" t="s">
        <v>74</v>
      </c>
    </row>
    <row r="525" spans="1:2" x14ac:dyDescent="0.25">
      <c r="A525" t="s">
        <v>201</v>
      </c>
      <c r="B525" t="s">
        <v>35</v>
      </c>
    </row>
    <row r="526" spans="1:2" x14ac:dyDescent="0.25">
      <c r="A526" t="s">
        <v>221</v>
      </c>
      <c r="B526" t="s">
        <v>1219</v>
      </c>
    </row>
    <row r="527" spans="1:2" x14ac:dyDescent="0.25">
      <c r="A527" t="s">
        <v>201</v>
      </c>
      <c r="B527" t="s">
        <v>1120</v>
      </c>
    </row>
    <row r="528" spans="1:2" x14ac:dyDescent="0.25">
      <c r="A528" t="s">
        <v>203</v>
      </c>
      <c r="B528" t="s">
        <v>1399</v>
      </c>
    </row>
    <row r="529" spans="1:2" x14ac:dyDescent="0.25">
      <c r="A529" t="s">
        <v>203</v>
      </c>
      <c r="B529" t="s">
        <v>1400</v>
      </c>
    </row>
    <row r="530" spans="1:2" x14ac:dyDescent="0.25">
      <c r="A530" t="s">
        <v>201</v>
      </c>
      <c r="B530" t="s">
        <v>372</v>
      </c>
    </row>
    <row r="531" spans="1:2" x14ac:dyDescent="0.25">
      <c r="A531" t="s">
        <v>201</v>
      </c>
      <c r="B531" t="s">
        <v>484</v>
      </c>
    </row>
    <row r="532" spans="1:2" x14ac:dyDescent="0.25">
      <c r="A532" t="s">
        <v>201</v>
      </c>
      <c r="B532" t="s">
        <v>212</v>
      </c>
    </row>
    <row r="533" spans="1:2" x14ac:dyDescent="0.25">
      <c r="A533" t="s">
        <v>208</v>
      </c>
      <c r="B533" t="s">
        <v>1401</v>
      </c>
    </row>
    <row r="534" spans="1:2" x14ac:dyDescent="0.25">
      <c r="A534" t="s">
        <v>203</v>
      </c>
      <c r="B53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Resume</vt:lpstr>
      <vt:lpstr>Legenda</vt:lpstr>
      <vt:lpstr>Tabulka</vt:lpstr>
      <vt:lpstr>proch_brand</vt:lpstr>
      <vt:lpstr>proch_emo</vt:lpstr>
      <vt:lpstr>istenik_brand</vt:lpstr>
      <vt:lpstr>istenik_emo</vt:lpstr>
      <vt:lpstr>cech_brand</vt:lpstr>
      <vt:lpstr>cech_emo</vt:lpstr>
      <vt:lpstr>ztrac_brand</vt:lpstr>
      <vt:lpstr>ztrac_emo</vt:lpstr>
      <vt:lpstr>slogan_emo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Kryštof Rybáček</cp:lastModifiedBy>
  <dcterms:created xsi:type="dcterms:W3CDTF">2025-12-15T14:04:35Z</dcterms:created>
  <dcterms:modified xsi:type="dcterms:W3CDTF">2025-12-15T14:44:41Z</dcterms:modified>
</cp:coreProperties>
</file>